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210" windowWidth="12120" windowHeight="8520" tabRatio="800" activeTab="5"/>
  </bookViews>
  <sheets>
    <sheet name="فهرست " sheetId="26" r:id="rId1"/>
    <sheet name="جدول 1 " sheetId="27" r:id="rId2"/>
    <sheet name="جدول  2 " sheetId="28" r:id="rId3"/>
    <sheet name="جدول 3" sheetId="8" r:id="rId4"/>
    <sheet name="4" sheetId="30" r:id="rId5"/>
    <sheet name="5" sheetId="21" r:id="rId6"/>
    <sheet name="6" sheetId="22" r:id="rId7"/>
    <sheet name="7" sheetId="23" r:id="rId8"/>
    <sheet name="8" sheetId="24" r:id="rId9"/>
    <sheet name="9" sheetId="32" r:id="rId10"/>
    <sheet name="10" sheetId="4" r:id="rId11"/>
    <sheet name="11" sheetId="9" r:id="rId12"/>
    <sheet name="12" sheetId="10" r:id="rId13"/>
    <sheet name="13" sheetId="5" r:id="rId14"/>
    <sheet name="14" sheetId="11" r:id="rId15"/>
    <sheet name="15" sheetId="18" r:id="rId16"/>
    <sheet name="16" sheetId="19" r:id="rId17"/>
  </sheets>
  <definedNames>
    <definedName name="OLE_LINK2" localSheetId="9">'9'!$C$25</definedName>
    <definedName name="_xlnm.Print_Area" localSheetId="10">'10'!$A$1:$I$24</definedName>
    <definedName name="_xlnm.Print_Area" localSheetId="11">'11'!$A$1:$I$24</definedName>
    <definedName name="_xlnm.Print_Area" localSheetId="12">'12'!$A$1:$I$22</definedName>
    <definedName name="_xlnm.Print_Area" localSheetId="13">'13'!$A$1:$I$22</definedName>
    <definedName name="_xlnm.Print_Area" localSheetId="14">'14'!$A$1:$I$22</definedName>
    <definedName name="_xlnm.Print_Area" localSheetId="15">'15'!$A$1:$I$22</definedName>
    <definedName name="_xlnm.Print_Area" localSheetId="16">'16'!$A$1:$I$22</definedName>
    <definedName name="_xlnm.Print_Area" localSheetId="4">'4'!$A$1:$J$28</definedName>
    <definedName name="_xlnm.Print_Area" localSheetId="5">'5'!$A$1:$I$26</definedName>
    <definedName name="_xlnm.Print_Area" localSheetId="6">'6'!$A$1:$K$27</definedName>
    <definedName name="_xlnm.Print_Area" localSheetId="7">'7'!$A$1:$K$25</definedName>
    <definedName name="_xlnm.Print_Area" localSheetId="8">'8'!$A$1:$K$25</definedName>
    <definedName name="_xlnm.Print_Area" localSheetId="9">'9'!$A$1:$J$25</definedName>
    <definedName name="_xlnm.Print_Area" localSheetId="2">'جدول  2 '!$A$1:$G$11</definedName>
    <definedName name="_xlnm.Print_Area" localSheetId="1">'جدول 1 '!$B$2:$H$13</definedName>
    <definedName name="_xlnm.Print_Area" localSheetId="3">'جدول 3'!$A$1:$D$39</definedName>
    <definedName name="_xlnm.Print_Area" localSheetId="0">'فهرست '!$A$1:$B$27</definedName>
    <definedName name="_xlnm.Print_Titles" localSheetId="0">'فهرست '!$1:$2</definedName>
  </definedNames>
  <calcPr calcId="144525"/>
  <fileRecoveryPr autoRecover="0" repairLoad="1"/>
</workbook>
</file>

<file path=xl/calcChain.xml><?xml version="1.0" encoding="utf-8"?>
<calcChain xmlns="http://schemas.openxmlformats.org/spreadsheetml/2006/main">
  <c r="F26" i="9" l="1"/>
  <c r="F8" i="27" l="1"/>
  <c r="G7" i="27" l="1"/>
  <c r="K13" i="27"/>
  <c r="E14" i="28"/>
  <c r="L21" i="9" l="1"/>
  <c r="K7" i="9"/>
  <c r="K8" i="9"/>
  <c r="K9" i="9"/>
  <c r="K10" i="9"/>
  <c r="K11" i="9"/>
  <c r="K12" i="9"/>
  <c r="K13" i="9"/>
  <c r="K15" i="9"/>
  <c r="K16" i="9"/>
  <c r="K18" i="9"/>
  <c r="K19" i="9"/>
  <c r="K21" i="9"/>
  <c r="K5" i="9"/>
  <c r="K7" i="10"/>
  <c r="K8" i="10"/>
  <c r="K9" i="10"/>
  <c r="K10" i="10"/>
  <c r="K11" i="10"/>
  <c r="K12" i="10"/>
  <c r="K13" i="10"/>
  <c r="K15" i="10"/>
  <c r="K16" i="10"/>
  <c r="K18" i="10"/>
  <c r="K19" i="10"/>
  <c r="K5" i="10"/>
  <c r="J7" i="10"/>
  <c r="J8" i="10"/>
  <c r="J9" i="10"/>
  <c r="J10" i="10"/>
  <c r="J11" i="10"/>
  <c r="J12" i="10"/>
  <c r="J13" i="10"/>
  <c r="J15" i="10"/>
  <c r="J16" i="10"/>
  <c r="J18" i="10"/>
  <c r="J19" i="10"/>
  <c r="J5" i="10"/>
  <c r="L13" i="30"/>
  <c r="H7" i="30"/>
  <c r="L11" i="30"/>
  <c r="F7" i="30"/>
  <c r="H22" i="32"/>
  <c r="H21" i="32"/>
  <c r="H18" i="32"/>
  <c r="H16" i="32"/>
  <c r="H12" i="32"/>
  <c r="H6" i="32"/>
  <c r="F18" i="32"/>
  <c r="F6" i="32"/>
  <c r="F16" i="32"/>
  <c r="F12" i="27"/>
  <c r="F10" i="27"/>
  <c r="J8" i="27"/>
  <c r="F9" i="27"/>
  <c r="F11" i="27" s="1"/>
  <c r="E13" i="28"/>
  <c r="H11" i="28"/>
  <c r="K12" i="27"/>
  <c r="E6" i="28"/>
  <c r="K14" i="27" l="1"/>
  <c r="L11" i="22"/>
  <c r="M14" i="22"/>
  <c r="L19" i="30"/>
  <c r="M17" i="30"/>
  <c r="L24" i="30" l="1"/>
  <c r="F16" i="21"/>
  <c r="M10" i="24"/>
  <c r="E20" i="30"/>
  <c r="H16" i="24" l="1"/>
  <c r="F16" i="24"/>
  <c r="E16" i="24"/>
  <c r="H17" i="22" l="1"/>
  <c r="F17" i="22"/>
  <c r="E17" i="22"/>
  <c r="H11" i="22" l="1"/>
  <c r="F11" i="22"/>
  <c r="E11" i="22"/>
  <c r="G11" i="27"/>
  <c r="F20" i="5"/>
  <c r="E20" i="5"/>
  <c r="G10" i="27" l="1"/>
  <c r="E11" i="28"/>
  <c r="D11" i="28"/>
  <c r="F22" i="32"/>
  <c r="G21" i="32"/>
  <c r="F21" i="32"/>
  <c r="E21" i="32"/>
  <c r="B7" i="8" s="1"/>
  <c r="G18" i="32"/>
  <c r="E18" i="32"/>
  <c r="G16" i="32"/>
  <c r="E16" i="32"/>
  <c r="B6" i="8" s="1"/>
  <c r="G12" i="32"/>
  <c r="F12" i="32"/>
  <c r="E12" i="32"/>
  <c r="G6" i="32"/>
  <c r="E6" i="32"/>
  <c r="E16" i="23"/>
  <c r="E16" i="21"/>
  <c r="E16" i="30"/>
  <c r="B5" i="8" l="1"/>
  <c r="G22" i="32"/>
  <c r="G24" i="32" s="1"/>
  <c r="E22" i="32"/>
  <c r="E24" i="32" s="1"/>
  <c r="E14" i="19"/>
  <c r="F14" i="18"/>
  <c r="E14" i="18"/>
  <c r="F14" i="11"/>
  <c r="E14" i="11"/>
  <c r="F14" i="5"/>
  <c r="E14" i="5"/>
  <c r="F14" i="10"/>
  <c r="K14" i="10" s="1"/>
  <c r="E14" i="10"/>
  <c r="J14" i="10" s="1"/>
  <c r="F14" i="4" l="1"/>
  <c r="E14" i="4"/>
  <c r="E14" i="9"/>
  <c r="F17" i="4"/>
  <c r="E17" i="4"/>
  <c r="E17" i="9"/>
  <c r="F17" i="10"/>
  <c r="K17" i="10" s="1"/>
  <c r="E17" i="10"/>
  <c r="J17" i="10" s="1"/>
  <c r="F17" i="5"/>
  <c r="E17" i="5"/>
  <c r="F17" i="11"/>
  <c r="E17" i="11"/>
  <c r="F17" i="18"/>
  <c r="E17" i="18"/>
  <c r="E17" i="19"/>
  <c r="F6" i="19"/>
  <c r="E6" i="19"/>
  <c r="F6" i="18"/>
  <c r="E6" i="18"/>
  <c r="F6" i="11"/>
  <c r="E6" i="11"/>
  <c r="F6" i="5"/>
  <c r="E6" i="5"/>
  <c r="F6" i="10"/>
  <c r="K6" i="10" s="1"/>
  <c r="E6" i="10"/>
  <c r="J6" i="10" s="1"/>
  <c r="F6" i="9"/>
  <c r="E6" i="9"/>
  <c r="F6" i="4"/>
  <c r="E6" i="4"/>
  <c r="H7" i="24"/>
  <c r="F7" i="24"/>
  <c r="E7" i="24"/>
  <c r="H7" i="23"/>
  <c r="F7" i="23"/>
  <c r="E7" i="23"/>
  <c r="H7" i="22"/>
  <c r="F7" i="22"/>
  <c r="E7" i="22"/>
  <c r="F7" i="21"/>
  <c r="E7" i="21"/>
  <c r="G7" i="30"/>
  <c r="E7" i="30"/>
  <c r="K17" i="9" l="1"/>
  <c r="K6" i="9"/>
  <c r="K14" i="9"/>
  <c r="G17" i="4"/>
  <c r="G17" i="18"/>
  <c r="H13" i="24"/>
  <c r="F13" i="24"/>
  <c r="E14" i="24"/>
  <c r="E13" i="24" s="1"/>
  <c r="E14" i="23"/>
  <c r="H14" i="22"/>
  <c r="F14" i="22"/>
  <c r="E14" i="22"/>
  <c r="E14" i="21"/>
  <c r="H21" i="22"/>
  <c r="F21" i="22"/>
  <c r="E21" i="22"/>
  <c r="H20" i="22"/>
  <c r="F20" i="22"/>
  <c r="E20" i="22"/>
  <c r="H19" i="22"/>
  <c r="F19" i="22"/>
  <c r="E19" i="22"/>
  <c r="G8" i="27" l="1"/>
  <c r="G12" i="27"/>
  <c r="E20" i="11"/>
  <c r="G9" i="27" l="1"/>
  <c r="G5" i="5" l="1"/>
  <c r="G5" i="4"/>
  <c r="F5" i="9" s="1"/>
  <c r="G6" i="27" l="1"/>
  <c r="G24" i="30"/>
  <c r="F20" i="10"/>
  <c r="H24" i="30"/>
  <c r="K20" i="10" l="1"/>
  <c r="H24" i="22"/>
  <c r="G26" i="30"/>
  <c r="F24" i="30" l="1"/>
  <c r="F24" i="23"/>
  <c r="E24" i="23"/>
  <c r="G14" i="22"/>
  <c r="I14" i="22" s="1"/>
  <c r="G13" i="5"/>
  <c r="G13" i="4" l="1"/>
  <c r="G13" i="18"/>
  <c r="G13" i="19"/>
  <c r="G13" i="11"/>
  <c r="F20" i="4"/>
  <c r="F22" i="4" s="1"/>
  <c r="E20" i="4"/>
  <c r="G13" i="22" l="1"/>
  <c r="I13" i="22" s="1"/>
  <c r="G11" i="24" l="1"/>
  <c r="G15" i="24"/>
  <c r="G17" i="24"/>
  <c r="G19" i="24"/>
  <c r="G15" i="23"/>
  <c r="G21" i="21"/>
  <c r="G20" i="21"/>
  <c r="G19" i="21"/>
  <c r="G10" i="21"/>
  <c r="G9" i="21"/>
  <c r="G8" i="19"/>
  <c r="G6" i="19" s="1"/>
  <c r="G8" i="18"/>
  <c r="G6" i="18" s="1"/>
  <c r="G9" i="18"/>
  <c r="F9" i="19" s="1"/>
  <c r="G16" i="18"/>
  <c r="F16" i="19" s="1"/>
  <c r="G16" i="19" s="1"/>
  <c r="G15" i="18"/>
  <c r="F15" i="19" s="1"/>
  <c r="F14" i="19" s="1"/>
  <c r="G19" i="18"/>
  <c r="F19" i="19" s="1"/>
  <c r="F17" i="19" s="1"/>
  <c r="G14" i="18"/>
  <c r="G7" i="11"/>
  <c r="G15" i="11"/>
  <c r="G18" i="11"/>
  <c r="G17" i="11" s="1"/>
  <c r="G9" i="5"/>
  <c r="F9" i="11" s="1"/>
  <c r="G8" i="5"/>
  <c r="G15" i="5"/>
  <c r="G18" i="5"/>
  <c r="G5" i="10"/>
  <c r="G9" i="10"/>
  <c r="G13" i="10"/>
  <c r="G15" i="10"/>
  <c r="G18" i="10"/>
  <c r="G19" i="10"/>
  <c r="G16" i="24"/>
  <c r="E24" i="22"/>
  <c r="G15" i="22"/>
  <c r="G14" i="21"/>
  <c r="G13" i="24"/>
  <c r="G19" i="19" l="1"/>
  <c r="G17" i="19" s="1"/>
  <c r="G15" i="19"/>
  <c r="I16" i="24"/>
  <c r="G17" i="5"/>
  <c r="G17" i="10"/>
  <c r="G7" i="24"/>
  <c r="G14" i="19"/>
  <c r="G14" i="5"/>
  <c r="G7" i="23"/>
  <c r="I7" i="23" s="1"/>
  <c r="G7" i="22"/>
  <c r="I7" i="22" s="1"/>
  <c r="F24" i="22"/>
  <c r="G16" i="22"/>
  <c r="G5" i="11"/>
  <c r="G5" i="23"/>
  <c r="G11" i="21"/>
  <c r="G6" i="21"/>
  <c r="I7" i="24" l="1"/>
  <c r="G24" i="22"/>
  <c r="G26" i="22" s="1"/>
  <c r="E24" i="24"/>
  <c r="H24" i="23"/>
  <c r="F24" i="24"/>
  <c r="G6" i="24"/>
  <c r="G10" i="23"/>
  <c r="G5" i="24" l="1"/>
  <c r="I5" i="24" l="1"/>
  <c r="I15" i="22"/>
  <c r="G17" i="22"/>
  <c r="G10" i="22"/>
  <c r="I10" i="22" s="1"/>
  <c r="G9" i="22"/>
  <c r="I9" i="22" s="1"/>
  <c r="G6" i="22"/>
  <c r="I6" i="22" s="1"/>
  <c r="I17" i="22" l="1"/>
  <c r="L14" i="22"/>
  <c r="G14" i="11"/>
  <c r="G11" i="10"/>
  <c r="G18" i="9" l="1"/>
  <c r="G7" i="9"/>
  <c r="L7" i="9" s="1"/>
  <c r="G12" i="4"/>
  <c r="F12" i="9" s="1"/>
  <c r="G10" i="4"/>
  <c r="F10" i="9" s="1"/>
  <c r="G10" i="9" s="1"/>
  <c r="L10" i="9" s="1"/>
  <c r="G9" i="4"/>
  <c r="F9" i="9" s="1"/>
  <c r="G7" i="4"/>
  <c r="G8" i="4"/>
  <c r="L18" i="9" l="1"/>
  <c r="M18" i="9"/>
  <c r="G6" i="4"/>
  <c r="F20" i="18"/>
  <c r="E20" i="18"/>
  <c r="G5" i="21" l="1"/>
  <c r="G14" i="24" l="1"/>
  <c r="G14" i="23"/>
  <c r="F26" i="22"/>
  <c r="I14" i="24" l="1"/>
  <c r="I13" i="24"/>
  <c r="E24" i="30"/>
  <c r="E26" i="30" l="1"/>
  <c r="I6" i="24"/>
  <c r="G12" i="9" l="1"/>
  <c r="L12" i="9" s="1"/>
  <c r="G5" i="18"/>
  <c r="F5" i="19" s="1"/>
  <c r="G5" i="19" s="1"/>
  <c r="G12" i="18"/>
  <c r="F12" i="19" s="1"/>
  <c r="G12" i="5"/>
  <c r="F12" i="11" s="1"/>
  <c r="G12" i="11" s="1"/>
  <c r="G12" i="10"/>
  <c r="F24" i="21"/>
  <c r="E24" i="21"/>
  <c r="G15" i="21"/>
  <c r="H26" i="22" l="1"/>
  <c r="B8" i="8"/>
  <c r="C6" i="8" l="1"/>
  <c r="C7" i="8"/>
  <c r="C5" i="8"/>
  <c r="C8" i="8"/>
  <c r="G9" i="23"/>
  <c r="I9" i="23" s="1"/>
  <c r="G8" i="23"/>
  <c r="I8" i="23" s="1"/>
  <c r="G12" i="21" l="1"/>
  <c r="G13" i="21"/>
  <c r="G16" i="21"/>
  <c r="G17" i="21"/>
  <c r="G22" i="22" l="1"/>
  <c r="G22" i="24"/>
  <c r="G5" i="22"/>
  <c r="L6" i="22" s="1"/>
  <c r="E20" i="19"/>
  <c r="E20" i="9"/>
  <c r="K20" i="9" l="1"/>
  <c r="H24" i="24"/>
  <c r="I5" i="23"/>
  <c r="I5" i="22"/>
  <c r="G16" i="10"/>
  <c r="G14" i="10" s="1"/>
  <c r="G7" i="10"/>
  <c r="G8" i="21" l="1"/>
  <c r="G18" i="21"/>
  <c r="G13" i="23"/>
  <c r="I14" i="23"/>
  <c r="G7" i="21" l="1"/>
  <c r="I13" i="23"/>
  <c r="G18" i="22"/>
  <c r="G12" i="19"/>
  <c r="G11" i="18"/>
  <c r="F11" i="19" s="1"/>
  <c r="G10" i="18"/>
  <c r="F10" i="19" s="1"/>
  <c r="G9" i="11"/>
  <c r="G8" i="11"/>
  <c r="G6" i="11" s="1"/>
  <c r="G11" i="5"/>
  <c r="F11" i="11" s="1"/>
  <c r="G11" i="11" s="1"/>
  <c r="G10" i="5"/>
  <c r="F10" i="11" s="1"/>
  <c r="G7" i="5"/>
  <c r="E20" i="10"/>
  <c r="G10" i="10"/>
  <c r="G8" i="10"/>
  <c r="G6" i="10" s="1"/>
  <c r="E22" i="9"/>
  <c r="E22" i="4"/>
  <c r="G13" i="9"/>
  <c r="L13" i="9" s="1"/>
  <c r="G9" i="9"/>
  <c r="L9" i="9" s="1"/>
  <c r="G8" i="9"/>
  <c r="L8" i="9" s="1"/>
  <c r="G19" i="4"/>
  <c r="F19" i="9" s="1"/>
  <c r="F17" i="9" s="1"/>
  <c r="G17" i="9" s="1"/>
  <c r="L17" i="9" s="1"/>
  <c r="G18" i="4"/>
  <c r="G16" i="4"/>
  <c r="F16" i="9" s="1"/>
  <c r="G16" i="9" s="1"/>
  <c r="L16" i="9" s="1"/>
  <c r="G15" i="4"/>
  <c r="F15" i="9" s="1"/>
  <c r="G11" i="4"/>
  <c r="F11" i="9" s="1"/>
  <c r="G11" i="9" s="1"/>
  <c r="L11" i="9" s="1"/>
  <c r="I18" i="22" l="1"/>
  <c r="K22" i="9"/>
  <c r="J20" i="10"/>
  <c r="G19" i="9"/>
  <c r="L19" i="9" s="1"/>
  <c r="F14" i="9"/>
  <c r="G14" i="9" s="1"/>
  <c r="L14" i="9" s="1"/>
  <c r="G15" i="9"/>
  <c r="L15" i="9" s="1"/>
  <c r="F20" i="11"/>
  <c r="G10" i="11"/>
  <c r="G14" i="4"/>
  <c r="G6" i="5"/>
  <c r="G6" i="9"/>
  <c r="L6" i="9" s="1"/>
  <c r="G20" i="5"/>
  <c r="G20" i="18"/>
  <c r="G20" i="4"/>
  <c r="G22" i="4" s="1"/>
  <c r="G20" i="10"/>
  <c r="F11" i="28"/>
  <c r="F10" i="28"/>
  <c r="F9" i="28"/>
  <c r="F8" i="28"/>
  <c r="F7" i="28"/>
  <c r="F6" i="28"/>
  <c r="E26" i="22"/>
  <c r="G8" i="22"/>
  <c r="I8" i="22" s="1"/>
  <c r="G20" i="11"/>
  <c r="G21" i="22" l="1"/>
  <c r="I21" i="22" s="1"/>
  <c r="G20" i="22"/>
  <c r="I20" i="22" s="1"/>
  <c r="G21" i="23"/>
  <c r="I21" i="23" s="1"/>
  <c r="G20" i="23"/>
  <c r="I20" i="23" s="1"/>
  <c r="G19" i="23"/>
  <c r="G18" i="23"/>
  <c r="I18" i="23" s="1"/>
  <c r="I19" i="23" l="1"/>
  <c r="G19" i="22"/>
  <c r="L22" i="22" s="1"/>
  <c r="F20" i="19"/>
  <c r="I16" i="22"/>
  <c r="G16" i="23"/>
  <c r="I16" i="23" s="1"/>
  <c r="I19" i="22" l="1"/>
  <c r="G12" i="22" l="1"/>
  <c r="I12" i="22" s="1"/>
  <c r="G11" i="22"/>
  <c r="I11" i="22" s="1"/>
  <c r="I24" i="22" l="1"/>
  <c r="I26" i="22" s="1"/>
  <c r="I17" i="24"/>
  <c r="I15" i="24"/>
  <c r="G12" i="24"/>
  <c r="G12" i="23"/>
  <c r="I12" i="23" s="1"/>
  <c r="G11" i="23"/>
  <c r="I12" i="24" l="1"/>
  <c r="I11" i="23"/>
  <c r="G24" i="23"/>
  <c r="G21" i="24"/>
  <c r="G20" i="24"/>
  <c r="I19" i="24"/>
  <c r="G22" i="21"/>
  <c r="G24" i="21" s="1"/>
  <c r="I11" i="24"/>
  <c r="G10" i="19"/>
  <c r="G9" i="24"/>
  <c r="G11" i="19"/>
  <c r="G10" i="24"/>
  <c r="I10" i="23"/>
  <c r="G9" i="19"/>
  <c r="I15" i="23"/>
  <c r="I20" i="24" l="1"/>
  <c r="I10" i="24"/>
  <c r="I24" i="23"/>
  <c r="I9" i="24"/>
  <c r="G24" i="24"/>
  <c r="I21" i="24"/>
  <c r="G20" i="19"/>
  <c r="I24" i="24" l="1"/>
  <c r="F20" i="9"/>
  <c r="F22" i="9" s="1"/>
  <c r="G5" i="9"/>
  <c r="G20" i="9" l="1"/>
  <c r="L5" i="9"/>
  <c r="G22" i="9" l="1"/>
  <c r="L20" i="9"/>
  <c r="L22" i="9" l="1"/>
</calcChain>
</file>

<file path=xl/comments1.xml><?xml version="1.0" encoding="utf-8"?>
<comments xmlns="http://schemas.openxmlformats.org/spreadsheetml/2006/main">
  <authors>
    <author>Haidar Khaled</author>
  </authors>
  <commentList>
    <comment ref="G14" authorId="0">
      <text>
        <r>
          <rPr>
            <b/>
            <sz val="8"/>
            <color indexed="81"/>
            <rFont val="Tahoma"/>
          </rPr>
          <t>Haidar Khaled: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shahad adel</author>
  </authors>
  <commentList>
    <comment ref="G13" authorId="0">
      <text>
        <r>
          <rPr>
            <b/>
            <sz val="9"/>
            <color indexed="81"/>
            <rFont val="Tahoma"/>
            <family val="2"/>
          </rPr>
          <t xml:space="preserve">تم حساب المخفض بالاسعار الثابتة للتجارة والفنادق لل9 انشطة ثم قسمة الجاري ز على المخفض 
</t>
        </r>
      </text>
    </comment>
    <comment ref="G14" authorId="0">
      <text>
        <r>
          <rPr>
            <b/>
            <sz val="9"/>
            <color indexed="81"/>
            <rFont val="Tahoma"/>
            <family val="2"/>
          </rPr>
          <t xml:space="preserve">طرح التجارة بالتسع انشطة من ز بالثابت 
</t>
        </r>
      </text>
    </comment>
    <comment ref="E17" authorId="0">
      <text>
        <r>
          <rPr>
            <b/>
            <sz val="9"/>
            <color indexed="81"/>
            <rFont val="Tahoma"/>
            <charset val="178"/>
          </rPr>
          <t>القيمه المضافه لقطاع ادارة الاعمال + ملكية دور سكن</t>
        </r>
      </text>
    </comment>
    <comment ref="G17" authorId="0">
      <text>
        <r>
          <rPr>
            <b/>
            <sz val="9"/>
            <color indexed="81"/>
            <rFont val="Tahoma"/>
            <charset val="178"/>
          </rPr>
          <t xml:space="preserve">تم جمع البنوك مع ملكية دور السكن جدول 9 =10549692.3
 </t>
        </r>
      </text>
    </comment>
    <comment ref="D29" authorId="0">
      <text>
        <r>
          <rPr>
            <b/>
            <sz val="9"/>
            <color indexed="81"/>
            <rFont val="Tahoma"/>
            <family val="2"/>
          </rPr>
          <t xml:space="preserve">الجاري ماعدا النفط والبنوك/ الثابت ماعدا النفط والبنوك *100
</t>
        </r>
      </text>
    </comment>
  </commentList>
</comments>
</file>

<file path=xl/comments3.xml><?xml version="1.0" encoding="utf-8"?>
<comments xmlns="http://schemas.openxmlformats.org/spreadsheetml/2006/main">
  <authors>
    <author>shahad adel</author>
  </authors>
  <commentList>
    <comment ref="E14" authorId="0">
      <text>
        <r>
          <rPr>
            <b/>
            <sz val="9"/>
            <color indexed="81"/>
            <rFont val="Tahoma"/>
            <charset val="178"/>
          </rPr>
          <t xml:space="preserve">الفنادق عام + مج فنادق+مطاعم (خاص)
</t>
        </r>
      </text>
    </comment>
    <comment ref="E16" authorId="0">
      <text>
        <r>
          <rPr>
            <b/>
            <sz val="9"/>
            <color indexed="81"/>
            <rFont val="Tahoma"/>
            <charset val="178"/>
          </rPr>
          <t xml:space="preserve">مج القطاع العام والخاص - قطاع الاعمال
</t>
        </r>
      </text>
    </comment>
    <comment ref="E17" authorId="0">
      <text>
        <r>
          <rPr>
            <b/>
            <sz val="9"/>
            <color indexed="81"/>
            <rFont val="Tahoma"/>
            <charset val="178"/>
          </rPr>
          <t xml:space="preserve">مجموع قطاع ادارة الاعمال+ ملكية دور سكن
</t>
        </r>
      </text>
    </comment>
  </commentList>
</comments>
</file>

<file path=xl/comments4.xml><?xml version="1.0" encoding="utf-8"?>
<comments xmlns="http://schemas.openxmlformats.org/spreadsheetml/2006/main">
  <authors>
    <author>shahad adel</author>
  </authors>
  <commentList>
    <comment ref="E16" authorId="0">
      <text>
        <r>
          <rPr>
            <sz val="9"/>
            <color indexed="81"/>
            <rFont val="Tahoma"/>
            <charset val="178"/>
          </rPr>
          <t xml:space="preserve">المجموع الكلي خاص - الخدمات المقدمة لقطاع الاعمال = وساطة مالية قطاع خاص
</t>
        </r>
      </text>
    </comment>
  </commentList>
</comments>
</file>

<file path=xl/sharedStrings.xml><?xml version="1.0" encoding="utf-8"?>
<sst xmlns="http://schemas.openxmlformats.org/spreadsheetml/2006/main" count="1159" uniqueCount="287">
  <si>
    <t>Electricity and Water</t>
  </si>
  <si>
    <t>5</t>
  </si>
  <si>
    <t>البناء والتشييد</t>
  </si>
  <si>
    <t>Building and construction</t>
  </si>
  <si>
    <t>6</t>
  </si>
  <si>
    <t xml:space="preserve">Transport ,Communications and storage        </t>
  </si>
  <si>
    <t>7</t>
  </si>
  <si>
    <t>تجارة الجملة والمفرد والفنادق وما شابه</t>
  </si>
  <si>
    <t>Wholesale, retail trade, hotels &amp; others</t>
  </si>
  <si>
    <t>8</t>
  </si>
  <si>
    <t>المال والتأمين وخدمات العقارات</t>
  </si>
  <si>
    <t>Finance, Insurance, Real estate and Business services</t>
  </si>
  <si>
    <t>8-1</t>
  </si>
  <si>
    <t>البنوك والتأمين</t>
  </si>
  <si>
    <t>Banks and insurance</t>
  </si>
  <si>
    <t>8-2</t>
  </si>
  <si>
    <t xml:space="preserve">ملكية دور السكن </t>
  </si>
  <si>
    <t>Owenrship of dwellings</t>
  </si>
  <si>
    <t>9</t>
  </si>
  <si>
    <t>خدمات التنمية الاجتماعية والشخصية</t>
  </si>
  <si>
    <t>Social and personal services</t>
  </si>
  <si>
    <t>9-1</t>
  </si>
  <si>
    <t>9-2</t>
  </si>
  <si>
    <t>الخدمات الشخصية</t>
  </si>
  <si>
    <t>Personal services</t>
  </si>
  <si>
    <t>المجموع حسب الأنشطة</t>
  </si>
  <si>
    <t>Total by activities</t>
  </si>
  <si>
    <t>ناقصا: رسم الخدمة المحتسب</t>
  </si>
  <si>
    <t xml:space="preserve">الناتج المحلي الإجمالي   </t>
  </si>
  <si>
    <t>GDP</t>
  </si>
  <si>
    <t>المؤشرات</t>
  </si>
  <si>
    <t>Indicators</t>
  </si>
  <si>
    <t>تعويضات المشتغلين</t>
  </si>
  <si>
    <t>Compensation of employees</t>
  </si>
  <si>
    <t xml:space="preserve">فائض العمليات </t>
  </si>
  <si>
    <t>Operating surplus</t>
  </si>
  <si>
    <t>تخصيصات استهلاك راس المال الثابت</t>
  </si>
  <si>
    <t xml:space="preserve">Consumption of fixed capital </t>
  </si>
  <si>
    <t>الضرائب غير المباشرة</t>
  </si>
  <si>
    <t>Indirect taxes</t>
  </si>
  <si>
    <t xml:space="preserve">ناقصا:الأعانات </t>
  </si>
  <si>
    <t>(-)Subsidies</t>
  </si>
  <si>
    <t xml:space="preserve">الناتج المحلي الأجمالي بسعر السوق </t>
  </si>
  <si>
    <t xml:space="preserve">Gross Domstic Product at market prices </t>
  </si>
  <si>
    <t>رمز التصنيف الدولي</t>
  </si>
  <si>
    <t>الأنشطة الاقتصادية</t>
  </si>
  <si>
    <t>Economic Activities</t>
  </si>
  <si>
    <t>ISIC code</t>
  </si>
  <si>
    <t>الزراعة والغابات والصيد</t>
  </si>
  <si>
    <t xml:space="preserve">Agriculture, Forestry, Hunting &amp; Fishing  </t>
  </si>
  <si>
    <t>التعدين والمقالع</t>
  </si>
  <si>
    <t>Mining and Quarrying</t>
  </si>
  <si>
    <t>2-1</t>
  </si>
  <si>
    <t>النفط الخام</t>
  </si>
  <si>
    <t>Crude oil</t>
  </si>
  <si>
    <t>2-2</t>
  </si>
  <si>
    <t xml:space="preserve"> Other types of mining</t>
  </si>
  <si>
    <t>3</t>
  </si>
  <si>
    <t>الصناعة التحويلية</t>
  </si>
  <si>
    <t>Manufacturing Industry</t>
  </si>
  <si>
    <t>4</t>
  </si>
  <si>
    <t>الكهرباء والماء</t>
  </si>
  <si>
    <t>Value of output</t>
  </si>
  <si>
    <t>Value of input</t>
  </si>
  <si>
    <t>Gross value added</t>
  </si>
  <si>
    <t>قيمة الإنتاج</t>
  </si>
  <si>
    <t>قيمة المستلزمات</t>
  </si>
  <si>
    <t xml:space="preserve">القيمة المضافة الاجمالية </t>
  </si>
  <si>
    <t>فائض العمليات</t>
  </si>
  <si>
    <t xml:space="preserve"> Crude oil</t>
  </si>
  <si>
    <t xml:space="preserve"> Personal services</t>
  </si>
  <si>
    <t>رسم الخدمة المحتسب</t>
  </si>
  <si>
    <t>Imputed bank service charge</t>
  </si>
  <si>
    <t xml:space="preserve">المجموع  </t>
  </si>
  <si>
    <t xml:space="preserve">Total  </t>
  </si>
  <si>
    <t>الانشطة السلعية</t>
  </si>
  <si>
    <t>الانشطة التوزيعية</t>
  </si>
  <si>
    <t>الانشطة الخدمية</t>
  </si>
  <si>
    <t>المجموع</t>
  </si>
  <si>
    <t>Commodity activities</t>
  </si>
  <si>
    <t>Distribution activities</t>
  </si>
  <si>
    <t>Services activities</t>
  </si>
  <si>
    <t>Total</t>
  </si>
  <si>
    <t>بالاسعار الجارية</t>
  </si>
  <si>
    <t>Public</t>
  </si>
  <si>
    <t>العام</t>
  </si>
  <si>
    <t>الخاص</t>
  </si>
  <si>
    <t>شكل رقم (3): مساهمة القطاعات (العام، التعاوني ، الخاص) في الناتج المحلي الاجمالي بالاسعار الجارية لسنة 2005</t>
  </si>
  <si>
    <t>Figure (3): Gross Domestic Product By the Sectors ( Public, Co-operation, Privite) at current Prices for the year 2005</t>
  </si>
  <si>
    <t>General Government</t>
  </si>
  <si>
    <t>الحكومة العامة</t>
  </si>
  <si>
    <t>الاهمية النسبية (%)</t>
  </si>
  <si>
    <t>RELATIVE SHARE (%)</t>
  </si>
  <si>
    <t>ناقصاً: رسم الخدمة المحتسب</t>
  </si>
  <si>
    <t>Relative Share (%)</t>
  </si>
  <si>
    <t>At Current Prices</t>
  </si>
  <si>
    <t>ـــ</t>
  </si>
  <si>
    <t xml:space="preserve"> ECONOMIC ACTIVITIES</t>
  </si>
  <si>
    <t>ISIC Code</t>
  </si>
  <si>
    <t>ا</t>
  </si>
  <si>
    <t xml:space="preserve">Agriculture,Hunting&amp;Forestry </t>
  </si>
  <si>
    <t>A</t>
  </si>
  <si>
    <t>ب</t>
  </si>
  <si>
    <t xml:space="preserve">صيد الأسماك </t>
  </si>
  <si>
    <t>Fishing</t>
  </si>
  <si>
    <t>B</t>
  </si>
  <si>
    <t>ج</t>
  </si>
  <si>
    <t>C</t>
  </si>
  <si>
    <t xml:space="preserve">النفط الخام </t>
  </si>
  <si>
    <t>Crude Oil</t>
  </si>
  <si>
    <t>أنواع اخرى من التعدين</t>
  </si>
  <si>
    <t>Other types of mining</t>
  </si>
  <si>
    <t>د</t>
  </si>
  <si>
    <t>D</t>
  </si>
  <si>
    <t>هـ</t>
  </si>
  <si>
    <t>تجهيز الكهرباء وتجهيز المياه</t>
  </si>
  <si>
    <t>Electricity and Water supply</t>
  </si>
  <si>
    <t>E</t>
  </si>
  <si>
    <t>و</t>
  </si>
  <si>
    <t>Building and Construction</t>
  </si>
  <si>
    <t>F</t>
  </si>
  <si>
    <t>ز</t>
  </si>
  <si>
    <t>Wholesale &amp; Retail Trade, repair of motor vehicles,motorcycles and personal and household goods</t>
  </si>
  <si>
    <t>G</t>
  </si>
  <si>
    <t xml:space="preserve">ح </t>
  </si>
  <si>
    <t xml:space="preserve">الفنادق والمطاعم </t>
  </si>
  <si>
    <t xml:space="preserve">Hotels and Restaurants </t>
  </si>
  <si>
    <t>H</t>
  </si>
  <si>
    <t>ط</t>
  </si>
  <si>
    <t xml:space="preserve">Transport,Storage and Communications </t>
  </si>
  <si>
    <t>I</t>
  </si>
  <si>
    <t>ي</t>
  </si>
  <si>
    <t>Financial intermediation</t>
  </si>
  <si>
    <t>J</t>
  </si>
  <si>
    <t>ك</t>
  </si>
  <si>
    <t>Real estate,renting and business activities</t>
  </si>
  <si>
    <t>K</t>
  </si>
  <si>
    <t>ل</t>
  </si>
  <si>
    <t>Public administration and defence;compulsory social security</t>
  </si>
  <si>
    <t>L</t>
  </si>
  <si>
    <t>م</t>
  </si>
  <si>
    <t>التعليم</t>
  </si>
  <si>
    <t>Education</t>
  </si>
  <si>
    <t>M</t>
  </si>
  <si>
    <t>ن</t>
  </si>
  <si>
    <t>Health and social Work</t>
  </si>
  <si>
    <t>N</t>
  </si>
  <si>
    <t>س</t>
  </si>
  <si>
    <t>Other community,social and personal services activities</t>
  </si>
  <si>
    <t>O</t>
  </si>
  <si>
    <t>ع</t>
  </si>
  <si>
    <t>Private households with employed persons</t>
  </si>
  <si>
    <t>P</t>
  </si>
  <si>
    <t>ف</t>
  </si>
  <si>
    <t>Extra-territorial organizations and bodies</t>
  </si>
  <si>
    <t>Q</t>
  </si>
  <si>
    <t>TOTAL BY ACTIVITES</t>
  </si>
  <si>
    <t xml:space="preserve">الناتج المحلي الإجمالي </t>
  </si>
  <si>
    <t xml:space="preserve">Total </t>
  </si>
  <si>
    <t>المحتويات</t>
  </si>
  <si>
    <t xml:space="preserve">المقدمة </t>
  </si>
  <si>
    <t>منهجيات التقدير للناتج المحلي الإجمالي والدخل القومي</t>
  </si>
  <si>
    <t>مصادر البيانات</t>
  </si>
  <si>
    <t>تحليل النتائج</t>
  </si>
  <si>
    <t>Private</t>
  </si>
  <si>
    <t>متوسط نصيب الفرد من الدخل القومي (الف دينار)</t>
  </si>
  <si>
    <t>الناتج المحلي الاجمالي بالاسعار الاساسية الجارية (مليار دينار)</t>
  </si>
  <si>
    <t>الناتج المحلي الاجمالي بالاسعار الاساسية الجارية (مليار دولار)</t>
  </si>
  <si>
    <t>متوسط نصيب الفرد من الناتج المحلي بالاسعار الجارية (الف دينار)</t>
  </si>
  <si>
    <t>NI per capita (000 ID)</t>
  </si>
  <si>
    <t>Gross Domestic Product at basic current prices (Billion ID)</t>
  </si>
  <si>
    <t>Gross Domestic Product at basic current prices (Billion US$)</t>
  </si>
  <si>
    <t>GDP per capita at current prices (000 ID)</t>
  </si>
  <si>
    <t>GDP per capita at current prices (000 US$)</t>
  </si>
  <si>
    <t>Minus:Imputed bank service charge</t>
  </si>
  <si>
    <t>Minus: Imputed bank service charge</t>
  </si>
  <si>
    <t>Minus: Imputed Bank Service Charge</t>
  </si>
  <si>
    <t>مجموع الأنشطة</t>
  </si>
  <si>
    <t>Total activities</t>
  </si>
  <si>
    <t xml:space="preserve">الزراعة والصيد والغابات </t>
  </si>
  <si>
    <t>الانشطة الاقتصادية</t>
  </si>
  <si>
    <t>الأنشطة العقارية والإيجارية والمشاريع التجارية</t>
  </si>
  <si>
    <t xml:space="preserve">الإداره العامة والدفاع والضمان الاجتماعي الالزامي </t>
  </si>
  <si>
    <t xml:space="preserve">الإدارة العامة والدفاع والضمان الاجتماعي الالزامي </t>
  </si>
  <si>
    <t xml:space="preserve">تجارة الجملة والمفرد واصلاح المركبات والسلع الشخصية </t>
  </si>
  <si>
    <t xml:space="preserve">الصحة والعمل الاجتماعي </t>
  </si>
  <si>
    <t xml:space="preserve">انشطة الخدمة المجتمعية والأجتماعية  والشخصية الاخرى </t>
  </si>
  <si>
    <t>الأسر المعيشية التى تعين افراداً لاداء الاعمال المنزلية</t>
  </si>
  <si>
    <t xml:space="preserve">المنظمات والهيئات غير الاقليمية </t>
  </si>
  <si>
    <t xml:space="preserve">المجموع حسب الأنشطة </t>
  </si>
  <si>
    <t xml:space="preserve">     ناقصا:  رسم الخدمة المحتسب </t>
  </si>
  <si>
    <t xml:space="preserve">الوساطة المالية </t>
  </si>
  <si>
    <t xml:space="preserve">الانشطة الاقتصادية </t>
  </si>
  <si>
    <t xml:space="preserve">الصناعة التحويلية </t>
  </si>
  <si>
    <t xml:space="preserve">المنظمات والهيئآت غير الاقليمية </t>
  </si>
  <si>
    <t>بالاسعار الثابتة  (2007=100)</t>
  </si>
  <si>
    <t>Relative share (%)</t>
  </si>
  <si>
    <t>At constant prices (2007=100)</t>
  </si>
  <si>
    <t>الناتج المحلي الاجمالي بالاسعار الثابتة (2007=100) (مليار دينار)</t>
  </si>
  <si>
    <t>Gross Domestic Product at constant  prices(2007=100) (Billion ID)</t>
  </si>
  <si>
    <t>الصفحة</t>
  </si>
  <si>
    <t>مديرية الحسابات القومية - الجهاز المركزي للإحصاء / العراق</t>
  </si>
  <si>
    <t>معدل التغير السنوي  %</t>
  </si>
  <si>
    <t>معدل التغير السنوي %</t>
  </si>
  <si>
    <t xml:space="preserve">(ــ) لا توجد بيانات </t>
  </si>
  <si>
    <t>1-2</t>
  </si>
  <si>
    <t>1-8</t>
  </si>
  <si>
    <t>2-8</t>
  </si>
  <si>
    <t>1-9</t>
  </si>
  <si>
    <t>2-9</t>
  </si>
  <si>
    <t xml:space="preserve">صافي عوامل الانتاج = حساب الدخل الاولي من ميزان المدفوعات * سعر الصرف </t>
  </si>
  <si>
    <t>4_5</t>
  </si>
  <si>
    <t>متوسط نصيب الفرد من الناتج المحلي بالاسعار الاساسية الجارية (الف دولار)</t>
  </si>
  <si>
    <t xml:space="preserve">ناقصا :   رسم الخدمة المحتسب </t>
  </si>
  <si>
    <t>جدول (3) الناتج المحلي الاجمالي بالاسعار الاساسية الجارية حسب مجموعات الانشطة ( السلعية، التوزيعية، الخدمية) لسنة 2018 (مليار دينار)</t>
  </si>
  <si>
    <t>جدول (4) الناتج المحلي الإجمالي لسنة 2018 حسب الأنشطة الإقتصادية  بالأسعار الاساسية الجارية والاسعار الثابتة ( 2007=100) (مليون دينار) والاهميات النسبية لكل منهما (%)</t>
  </si>
  <si>
    <t>جدول (5) الناتج المحلي الاجمالي حسب الانشطة والقطاعات (العام، الخاص) بالاسعار الاساسية الجارية لسنة 2018 (مليون دينار)</t>
  </si>
  <si>
    <t>جدول (6) قيمة الانتاج الاجمالي والقيمة المضافة الاجمالية وعناصرها حسب الانشطة الاقتصادية بالاسعار الاساسية الجارية لسنة 2018 (مليون دينار)</t>
  </si>
  <si>
    <t>جدول (7) قيمة الانتاج الاجمالي والقيمة المضافة  الاجمالية وعناصرها  حسب الانشطة الاقتصادية بالاسعار الاساسية الجارية للقطاع العام لسنة 2018 (مليون دينار)</t>
  </si>
  <si>
    <t>جدول (8) قيمة الانتاج الاجمالي والقيمة المضافة  الاجمالية وعناصرها  حسب الانشطة الاقتصادية بالاسعار الاساسية الجارية للقطاع الخاص لسنة 2018 (مليون دينار)</t>
  </si>
  <si>
    <t>جدول (9) الناتج المحلي الإجمالي لسنة 2018 حسب الأنشطة الإقتصادية  بالأسعار الاساسية الجارية والاسعار الثابتة (2007=100) (مليون دينار) والاهميات النسبية لكل منهما (%)</t>
  </si>
  <si>
    <t>جدول (10) قيمة الانتاج الاجمالي والقيمة المضافة  الاجمالية حسب الانشطة الاقتصادية بالاسعار الاساسية الجارية لسنة 2018 (مليون دينار)</t>
  </si>
  <si>
    <t>جدول (11) القيمة المضافة  الاجمالية وعناصرها  حسب الانشطة الاقتصادية بالاسعار الاساسية الجارية لسنة 2018 (مليون دينار)</t>
  </si>
  <si>
    <t>جدول (12) الناتج المحلي الاجمالي حسب الانشطة والقطاعين ( العام، الخاص) بالاسعار الاساسية الجارية لسنة 2018 (مليون دينار)</t>
  </si>
  <si>
    <t>جدول (13) قيمة الانتاج الاجمالي والقيمة المضافة  الاجمالية حسب الانشطة الاقتصادية بالاسعار الاساسية الجارية  للقطاع العام لسنة 2018 (مليون دينار)</t>
  </si>
  <si>
    <t>جدول (14) القيمة المضافة  الاجمالية وعناصرها  حسب الانشطة الاقتصادية بالاسعار الاساسية الجارية  للقطاع العام لسنة 2018 (مليون دينار)</t>
  </si>
  <si>
    <t>جدول (15) قيمة الانتاج الاجمالي والقيمة المضافة  الاجمالية حسب الانشطة الاقتصادية بالاسعار الاساسية الجارية  للقطاع الخاص لسنة 2018 (مليون دينار)</t>
  </si>
  <si>
    <t>جدول (16) القيمة المضافة  الاجمالية وعناصرها  حسب الانشطة الاقتصادية بالاسعار الاساسية الجارية  للقطاع الخاص لسنة 2018 (مليون دينار)</t>
  </si>
  <si>
    <t>شكل (1) الناتج المحلي الاجمالي بالاسعار الاساسية الجارية حسب مجموعات الانشطة (السلعية، التوزيعية، الخدمية) لسنة 2018 (%)</t>
  </si>
  <si>
    <t xml:space="preserve">جدول (16) القيمة المضافة  الإجمالية وعناصرها  حسب الأنشطة الإقتصادية بالأسعار الاساسية  الجارية  للقطاع الخاص لسنة 2018 (مليون دينار) </t>
  </si>
  <si>
    <t>Table (16) Gross Value Added and its Components By Economic Activities, Private Sector at Current Prices for The Year 2018 (Million I.D.)</t>
  </si>
  <si>
    <t xml:space="preserve">جدول (15) قيمة الإنتاج الأجمالي والقيمة المضافة  الإجمالية حسب الأنشطة الإقتصادية بالأسعار الاساسية  الجارية  للقطاع الخاص لسنة 2018 (مليون دينار) </t>
  </si>
  <si>
    <t>Table (15) Value Of Gross Production, Gross Value Added By Economic Activities, Private Sector at Current Prices for The Year 2018 (Million I.D.)</t>
  </si>
  <si>
    <t xml:space="preserve">جدول (14) القيمة المضافة  الإجمالية وعناصرها  حسب الأنشطة الإقتصادية بالأسعار الاساسية الجارية  للقطاع العام لسنة 2018 (مليون دينار) </t>
  </si>
  <si>
    <t>Table (14) Gross Value Added and its Components By Economic Activities, Public Sector at Current Prices for The Year 2018 (Million I.D.)</t>
  </si>
  <si>
    <t xml:space="preserve">جدول (13) قيمة الأنتاج الإجمالي والقيمة المضافة  الإجمالية حسب الأنشطة الإقتصادية بالأسعار الاساسية الجارية  للقطاع العام لسنة 2018 (مليون دينار) </t>
  </si>
  <si>
    <t>جدول (12) الناتج المحلي الإجمالي حسب الأنشطة والقطاعين ( العام، الخاص) بالأسعار الاساسية الجارية لسنة 2018 (مليون دينار)</t>
  </si>
  <si>
    <t>Table (12) Gross Domestic Product By Economic Activities and Sectors ( Public, Private ) at Current Prices for The Year 2018 (Million I.D.)</t>
  </si>
  <si>
    <t>جدول (11) القيمة المضافة  الإجمالية وعناصرها  حسب الأنشطة الإقتصادية بالأسعار الاساسية الجارية لسنة 2018 (مليون دينار)</t>
  </si>
  <si>
    <t>Table (11) Gross Value Added and its Components By Economic Activity at Current Prices for The Year 2018 (Million I.D.)</t>
  </si>
  <si>
    <t>جدول (10) قيمة الأنتاج الإجمالي والقيمة المضافة  الإجمالية حسب الأنشطة الإقتصادية بالأسعار الاساسية الجارية لسنة 2018 (مليون دينار)</t>
  </si>
  <si>
    <t>Table (10) Value Of Gross Production, Gross Value Added By Economic Activity at Current Prices for The Year 2018 (Million I.D.)</t>
  </si>
  <si>
    <t>جدول (9)  الناتج المحلي الإجمالي لسنة 2018 حسب الأنشطة الإقتصادية  بالأسعار الاساسية الجارية والأسعار الثابتة (2007=100) (مليون دينار) والاهميات النسبية لكل منهما (%)</t>
  </si>
  <si>
    <t xml:space="preserve">Table (9) Gross Domestic Product For the year 2018 by Economic Activities at Current &amp; Constant prices (2007=100) (Million I.D) &amp; Relative Share for them (%)        </t>
  </si>
  <si>
    <t xml:space="preserve">جدول (8) قيمة الأنتاج الإجمالي والقيمة المضافة  الإجمالية وعناصرها  حسب الأنشطة الإقتصادية بالأسعار الاساسية الجارية للقطاع الخاص لسنة 2018 (مليون دينار) </t>
  </si>
  <si>
    <t>TABLE (8) Value of Gross Production, Gross Value Added and Its Compenents by Economic Activities, Private Sector at Current Prices for the year 2018 (Million I.D.)</t>
  </si>
  <si>
    <t xml:space="preserve">جدول (7) قيمة الأنتاج الإجمالي والقيمة المضافة  الإجمالية وعناصرها  حسب الأنشطة الإقتصادية بالأسعار الاساسية الجارية للقطاع العام لسنة 2018 (مليون دينار) </t>
  </si>
  <si>
    <t>TABLE (7) Value for Gross Production, Gross Value Added and Its Compenents by Economic Activities, Public Sector at Current Prices for the year 2018 (Million I.D.)</t>
  </si>
  <si>
    <t xml:space="preserve">جدول (6) قيمة الأنتاج الإجمالي والقيمة المضافة الإجمالية وعناصرها حسب الأنشطة الإقتصادية بالأسعار الاساسية الجارية لسنة 2018 (مليون دينار) </t>
  </si>
  <si>
    <t>TABLE (6) Value of Gross Production, Gross Value Added and Its Compenents by Economic Activities at Current Prices for the year 2018 (Million I.D.)</t>
  </si>
  <si>
    <t>جدول (5) الناتج المحلي الأجمالي حسب الأنشطة والقطاعات (العام، الخاص) بالأسعار الاساسية الجارية لسنة 2018 (مليون دينار)</t>
  </si>
  <si>
    <t>Table (5) Gross Domestic Product by Economic Activities , Sectors ( Public, Private ) at Current Prices for The Year 2018 (Million I.D.)</t>
  </si>
  <si>
    <t xml:space="preserve">جدول (4)  الناتج المحلي الإجمالي لسنة 2018 حسب الأنشطة الإقتصادية  بالأسعار الاساسية الجارية والأسعار الثابتة (2007=100) (مليون دينار) والاهميات النسبية لكل منهما (%) </t>
  </si>
  <si>
    <t>Table (4) Gross Domestic Product For the year 2018 by Economic Activities at Current &amp; Constant prices (2007=100) (Million I.D)  &amp; Relative Share for them (%)</t>
  </si>
  <si>
    <t>جدول (3) الناتج المحلي الإجمالي بالأسعار الأساسية الجارية حسب مجموعات الأنشطة ( السلعية ، التوزيعية ، الخدمية) لسنة 2018 (مليار دينار)</t>
  </si>
  <si>
    <t>Table (3): Gross Domestic Product at basic current prices by Activities Group (Commodity, Distribution and Services) for the year 2018 (Billion I.D.)</t>
  </si>
  <si>
    <t xml:space="preserve">جدول (1) الدخل القومي والناتج المحلي الاجمالي ومتوسط نصيب الفرد لكل منهما لسنتي 2017 و 2018 </t>
  </si>
  <si>
    <t>جدول (2)  الناتج المحلي الأجمالي بأسعار السوق لسنتي 2017 و 2018 (مليار دينار)</t>
  </si>
  <si>
    <t>3165015(-)</t>
  </si>
  <si>
    <t>Minus :Imputed Bank Service Charge</t>
  </si>
  <si>
    <t>Table (13) Value Of Gross Production, Gross Value Added By Economic Activities, Public Sector at Current Prices for The Year 2018                          (Million I.D.)</t>
  </si>
  <si>
    <t>مجموع الانشطة السلعية</t>
  </si>
  <si>
    <t>Commodity Activities</t>
  </si>
  <si>
    <t>مجموع الانشطة التوزيعية</t>
  </si>
  <si>
    <t>Distribution Activies</t>
  </si>
  <si>
    <t>مجموع الانشطة الخدمية</t>
  </si>
  <si>
    <t>Services Activities</t>
  </si>
  <si>
    <t>=</t>
  </si>
  <si>
    <t>ناتج عدا النفط والبنوك / جاري</t>
  </si>
  <si>
    <t>المخفض عدا نفط وبنوك</t>
  </si>
  <si>
    <t>اندثار</t>
  </si>
  <si>
    <t>الدخل الاولي</t>
  </si>
  <si>
    <t>فائض</t>
  </si>
  <si>
    <t>تخصيصات</t>
  </si>
  <si>
    <t>سعر الصرف</t>
  </si>
  <si>
    <t>صافي عوائد عوامل الانتاج</t>
  </si>
  <si>
    <t>الدخل القومي = الناتج المحلي الاجمالي - الاندثار تخصيصات استهلاك راس المال +- صافي عوائد عوامل الانتاج+الضرائب-الاعانات</t>
  </si>
  <si>
    <t>الدخل القومي بالاسعار الجارية  (ملياردينار)</t>
  </si>
  <si>
    <t>National Income at current prices (Billion ID)</t>
  </si>
  <si>
    <t>انواع الأخرى من التعدين</t>
  </si>
  <si>
    <t>محتويات الجداول</t>
  </si>
  <si>
    <t>محتويات الاشكال البيانية</t>
  </si>
  <si>
    <t>جدول (1): الدخل القومي والناتج المحلي الإجمالي ومتوسط نصيب الفرد لكل منهما لسنتي 2017 و 2018</t>
  </si>
  <si>
    <t>Table (1): National Income, Gross Domestic Product and Per Capita for the years 2017 and 2018</t>
  </si>
  <si>
    <t>جدول (2)  الناتج المحلي الأجمالي بأسعار السوق لسنتي 2017 و 2018   (مليار دينار)</t>
  </si>
  <si>
    <t>Table (2)  Gross Domestic Product at Market prices for the years 2017 and 2018 (Billion I.D.)</t>
  </si>
  <si>
    <t>النقل والاتصالات والخزن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</si>
</sst>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_-* #,##0.00\-;_-* &quot;-&quot;??_-;_-@_-"/>
    <numFmt numFmtId="165" formatCode="0.0"/>
    <numFmt numFmtId="166" formatCode="0.000"/>
    <numFmt numFmtId="167" formatCode="0.0000"/>
    <numFmt numFmtId="168" formatCode="_-* #,##0.0_-;_-* #,##0.0\-;_-* &quot;-&quot;??_-;_-@_-"/>
    <numFmt numFmtId="169" formatCode="0.00000000000"/>
    <numFmt numFmtId="170" formatCode="_(* #,##0.0_);_(* \(#,##0.0\);_(* &quot;-&quot;?_);_(@_)"/>
  </numFmts>
  <fonts count="31">
    <font>
      <sz val="10"/>
      <name val="Arial"/>
      <charset val="178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  <charset val="178"/>
    </font>
    <font>
      <b/>
      <sz val="12"/>
      <name val="Arial"/>
      <family val="2"/>
      <charset val="178"/>
    </font>
    <font>
      <b/>
      <sz val="11"/>
      <name val="Arial"/>
      <family val="2"/>
      <charset val="178"/>
    </font>
    <font>
      <b/>
      <sz val="10"/>
      <name val="Arial"/>
      <family val="2"/>
      <charset val="178"/>
    </font>
    <font>
      <b/>
      <sz val="9"/>
      <name val="Arial"/>
      <family val="2"/>
      <charset val="178"/>
    </font>
    <font>
      <b/>
      <sz val="9"/>
      <name val="Arial"/>
      <family val="2"/>
    </font>
    <font>
      <b/>
      <sz val="9"/>
      <name val="Arial (Arabic)"/>
      <family val="2"/>
      <charset val="178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  <charset val="178"/>
    </font>
    <font>
      <b/>
      <sz val="16"/>
      <name val="Arial"/>
      <family val="2"/>
      <charset val="178"/>
    </font>
    <font>
      <b/>
      <sz val="14"/>
      <name val="Arial"/>
      <family val="2"/>
    </font>
    <font>
      <sz val="14"/>
      <name val="Arial"/>
      <family val="2"/>
      <charset val="178"/>
    </font>
    <font>
      <sz val="10"/>
      <name val="Arial"/>
      <family val="2"/>
    </font>
    <font>
      <sz val="12"/>
      <name val="Arial"/>
      <family val="2"/>
    </font>
    <font>
      <b/>
      <sz val="14"/>
      <name val="PT Bold Heading"/>
      <charset val="178"/>
    </font>
    <font>
      <b/>
      <sz val="12"/>
      <name val="PT Bold Heading"/>
      <charset val="178"/>
    </font>
    <font>
      <sz val="10"/>
      <name val="Arial"/>
      <family val="2"/>
    </font>
    <font>
      <b/>
      <sz val="9"/>
      <color indexed="81"/>
      <name val="Tahoma"/>
      <charset val="178"/>
    </font>
    <font>
      <sz val="9"/>
      <color indexed="81"/>
      <name val="Tahoma"/>
      <charset val="178"/>
    </font>
    <font>
      <b/>
      <sz val="9"/>
      <color indexed="81"/>
      <name val="Tahoma"/>
      <family val="2"/>
    </font>
    <font>
      <sz val="8"/>
      <color indexed="81"/>
      <name val="Tahoma"/>
    </font>
    <font>
      <b/>
      <sz val="8"/>
      <color indexed="81"/>
      <name val="Tahoma"/>
    </font>
    <font>
      <b/>
      <sz val="12"/>
      <name val="AL-Mohanad Bold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23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19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49" fontId="7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0" fillId="0" borderId="0" xfId="0" applyBorder="1"/>
    <xf numFmtId="49" fontId="0" fillId="0" borderId="0" xfId="0" applyNumberFormat="1" applyBorder="1"/>
    <xf numFmtId="49" fontId="0" fillId="0" borderId="0" xfId="0" applyNumberFormat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5" fontId="0" fillId="0" borderId="0" xfId="0" applyNumberForma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0" fontId="14" fillId="0" borderId="0" xfId="0" applyFont="1" applyAlignment="1"/>
    <xf numFmtId="0" fontId="14" fillId="0" borderId="0" xfId="0" applyFont="1" applyBorder="1" applyAlignment="1"/>
    <xf numFmtId="165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/>
    <xf numFmtId="49" fontId="4" fillId="0" borderId="1" xfId="0" applyNumberFormat="1" applyFont="1" applyBorder="1" applyAlignment="1"/>
    <xf numFmtId="0" fontId="15" fillId="0" borderId="0" xfId="0" applyFont="1" applyBorder="1"/>
    <xf numFmtId="165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2" fontId="0" fillId="0" borderId="0" xfId="0" applyNumberFormat="1" applyBorder="1"/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67" fontId="5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 wrapText="1"/>
    </xf>
    <xf numFmtId="165" fontId="0" fillId="0" borderId="0" xfId="0" applyNumberFormat="1" applyAlignment="1">
      <alignment vertical="center"/>
    </xf>
    <xf numFmtId="49" fontId="3" fillId="0" borderId="1" xfId="0" applyNumberFormat="1" applyFont="1" applyBorder="1" applyAlignment="1"/>
    <xf numFmtId="0" fontId="3" fillId="0" borderId="0" xfId="0" applyFont="1" applyFill="1" applyBorder="1" applyAlignment="1">
      <alignment horizontal="right" vertical="center" wrapText="1"/>
    </xf>
    <xf numFmtId="165" fontId="18" fillId="0" borderId="0" xfId="0" applyNumberFormat="1" applyFont="1" applyBorder="1"/>
    <xf numFmtId="2" fontId="18" fillId="0" borderId="0" xfId="0" applyNumberFormat="1" applyFont="1" applyBorder="1"/>
    <xf numFmtId="0" fontId="18" fillId="0" borderId="0" xfId="0" applyFont="1" applyBorder="1"/>
    <xf numFmtId="2" fontId="0" fillId="0" borderId="0" xfId="0" applyNumberFormat="1" applyAlignment="1">
      <alignment horizontal="left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3" fillId="0" borderId="1" xfId="0" applyNumberFormat="1" applyFont="1" applyBorder="1" applyAlignment="1"/>
    <xf numFmtId="0" fontId="7" fillId="0" borderId="26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righ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horizontal="righ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vertical="center"/>
    </xf>
    <xf numFmtId="0" fontId="20" fillId="0" borderId="0" xfId="0" applyFont="1" applyBorder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165" fontId="19" fillId="0" borderId="0" xfId="0" applyNumberFormat="1" applyFont="1" applyBorder="1"/>
    <xf numFmtId="0" fontId="22" fillId="3" borderId="3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165" fontId="1" fillId="0" borderId="0" xfId="0" applyNumberFormat="1" applyFont="1" applyAlignment="1">
      <alignment vertical="center"/>
    </xf>
    <xf numFmtId="165" fontId="6" fillId="0" borderId="0" xfId="0" applyNumberFormat="1" applyFont="1" applyBorder="1" applyAlignment="1">
      <alignment vertical="center"/>
    </xf>
    <xf numFmtId="0" fontId="0" fillId="0" borderId="0" xfId="0" applyFill="1" applyAlignment="1">
      <alignment vertical="center"/>
    </xf>
    <xf numFmtId="166" fontId="0" fillId="0" borderId="0" xfId="0" applyNumberFormat="1" applyAlignment="1">
      <alignment vertical="center"/>
    </xf>
    <xf numFmtId="165" fontId="3" fillId="0" borderId="1" xfId="0" applyNumberFormat="1" applyFont="1" applyBorder="1" applyAlignment="1"/>
    <xf numFmtId="165" fontId="0" fillId="0" borderId="0" xfId="0" applyNumberFormat="1"/>
    <xf numFmtId="49" fontId="1" fillId="0" borderId="0" xfId="0" applyNumberFormat="1" applyFont="1" applyBorder="1"/>
    <xf numFmtId="165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165" fontId="0" fillId="0" borderId="0" xfId="0" applyNumberFormat="1" applyFill="1" applyBorder="1"/>
    <xf numFmtId="0" fontId="1" fillId="0" borderId="0" xfId="0" applyNumberFormat="1" applyFont="1" applyBorder="1"/>
    <xf numFmtId="0" fontId="8" fillId="3" borderId="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65" fontId="0" fillId="0" borderId="0" xfId="0" applyNumberFormat="1" applyFill="1" applyBorder="1" applyAlignment="1">
      <alignment vertical="center"/>
    </xf>
    <xf numFmtId="0" fontId="8" fillId="0" borderId="4" xfId="0" applyNumberFormat="1" applyFont="1" applyBorder="1" applyAlignment="1">
      <alignment horizontal="left" vertical="center" wrapText="1"/>
    </xf>
    <xf numFmtId="165" fontId="6" fillId="0" borderId="0" xfId="0" applyNumberFormat="1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65" fontId="0" fillId="5" borderId="0" xfId="0" applyNumberFormat="1" applyFill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/>
    <xf numFmtId="0" fontId="12" fillId="0" borderId="0" xfId="0" applyFont="1" applyAlignment="1">
      <alignment vertical="center" wrapText="1"/>
    </xf>
    <xf numFmtId="165" fontId="5" fillId="7" borderId="28" xfId="0" applyNumberFormat="1" applyFont="1" applyFill="1" applyBorder="1" applyAlignment="1">
      <alignment horizontal="center" vertical="center"/>
    </xf>
    <xf numFmtId="165" fontId="5" fillId="7" borderId="34" xfId="0" applyNumberFormat="1" applyFont="1" applyFill="1" applyBorder="1" applyAlignment="1">
      <alignment horizontal="center" vertical="center"/>
    </xf>
    <xf numFmtId="165" fontId="5" fillId="0" borderId="25" xfId="0" applyNumberFormat="1" applyFont="1" applyFill="1" applyBorder="1" applyAlignment="1">
      <alignment horizontal="right" vertical="center"/>
    </xf>
    <xf numFmtId="165" fontId="5" fillId="0" borderId="28" xfId="0" applyNumberFormat="1" applyFont="1" applyFill="1" applyBorder="1" applyAlignment="1">
      <alignment horizontal="right" vertical="center"/>
    </xf>
    <xf numFmtId="165" fontId="5" fillId="0" borderId="34" xfId="0" applyNumberFormat="1" applyFont="1" applyFill="1" applyBorder="1" applyAlignment="1">
      <alignment horizontal="right" vertical="center"/>
    </xf>
    <xf numFmtId="165" fontId="5" fillId="2" borderId="28" xfId="0" applyNumberFormat="1" applyFont="1" applyFill="1" applyBorder="1" applyAlignment="1">
      <alignment horizontal="right" vertical="center"/>
    </xf>
    <xf numFmtId="165" fontId="5" fillId="2" borderId="34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left" vertical="center" wrapText="1"/>
    </xf>
    <xf numFmtId="169" fontId="0" fillId="0" borderId="0" xfId="0" applyNumberFormat="1" applyBorder="1"/>
    <xf numFmtId="0" fontId="17" fillId="0" borderId="0" xfId="0" applyFont="1" applyAlignment="1">
      <alignment vertical="center" wrapText="1"/>
    </xf>
    <xf numFmtId="0" fontId="0" fillId="0" borderId="0" xfId="0" applyFill="1"/>
    <xf numFmtId="165" fontId="7" fillId="0" borderId="25" xfId="0" applyNumberFormat="1" applyFont="1" applyFill="1" applyBorder="1" applyAlignment="1">
      <alignment horizontal="right" vertical="center"/>
    </xf>
    <xf numFmtId="165" fontId="7" fillId="0" borderId="28" xfId="0" applyNumberFormat="1" applyFont="1" applyFill="1" applyBorder="1" applyAlignment="1">
      <alignment horizontal="right" vertical="center"/>
    </xf>
    <xf numFmtId="165" fontId="7" fillId="7" borderId="28" xfId="0" applyNumberFormat="1" applyFont="1" applyFill="1" applyBorder="1" applyAlignment="1">
      <alignment horizontal="right" vertical="center" readingOrder="2"/>
    </xf>
    <xf numFmtId="165" fontId="7" fillId="0" borderId="34" xfId="0" applyNumberFormat="1" applyFont="1" applyFill="1" applyBorder="1" applyAlignment="1">
      <alignment horizontal="right" vertical="center"/>
    </xf>
    <xf numFmtId="165" fontId="7" fillId="0" borderId="31" xfId="0" applyNumberFormat="1" applyFont="1" applyFill="1" applyBorder="1" applyAlignment="1">
      <alignment horizontal="right" vertical="center"/>
    </xf>
    <xf numFmtId="165" fontId="0" fillId="0" borderId="0" xfId="0" applyNumberFormat="1" applyBorder="1" applyAlignment="1"/>
    <xf numFmtId="165" fontId="6" fillId="0" borderId="1" xfId="0" applyNumberFormat="1" applyFont="1" applyBorder="1" applyAlignment="1">
      <alignment vertical="center" wrapText="1"/>
    </xf>
    <xf numFmtId="2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165" fontId="12" fillId="0" borderId="0" xfId="0" applyNumberFormat="1" applyFont="1" applyAlignment="1">
      <alignment vertical="center" wrapText="1"/>
    </xf>
    <xf numFmtId="165" fontId="14" fillId="0" borderId="0" xfId="0" applyNumberFormat="1" applyFont="1" applyAlignment="1">
      <alignment horizontal="center" vertical="center"/>
    </xf>
    <xf numFmtId="165" fontId="0" fillId="4" borderId="0" xfId="0" applyNumberFormat="1" applyFill="1" applyAlignment="1">
      <alignment vertical="center"/>
    </xf>
    <xf numFmtId="0" fontId="13" fillId="0" borderId="0" xfId="0" applyFont="1" applyAlignment="1">
      <alignment horizontal="right" vertical="center" textRotation="180"/>
    </xf>
    <xf numFmtId="165" fontId="6" fillId="0" borderId="15" xfId="0" applyNumberFormat="1" applyFont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/>
    </xf>
    <xf numFmtId="0" fontId="12" fillId="0" borderId="38" xfId="0" applyFont="1" applyBorder="1" applyAlignment="1">
      <alignment horizontal="right" vertical="center" wrapText="1"/>
    </xf>
    <xf numFmtId="0" fontId="12" fillId="0" borderId="38" xfId="0" applyFont="1" applyBorder="1" applyAlignment="1">
      <alignment horizontal="center" vertical="center" wrapText="1"/>
    </xf>
    <xf numFmtId="49" fontId="10" fillId="0" borderId="38" xfId="0" applyNumberFormat="1" applyFont="1" applyBorder="1" applyAlignment="1">
      <alignment horizontal="center" vertical="center" wrapText="1"/>
    </xf>
    <xf numFmtId="0" fontId="10" fillId="0" borderId="38" xfId="0" applyFont="1" applyBorder="1" applyAlignment="1">
      <alignment horizontal="right" vertical="center" wrapText="1"/>
    </xf>
    <xf numFmtId="0" fontId="0" fillId="0" borderId="41" xfId="0" applyBorder="1"/>
    <xf numFmtId="0" fontId="13" fillId="0" borderId="41" xfId="0" applyFont="1" applyBorder="1" applyAlignment="1">
      <alignment horizontal="center" textRotation="90"/>
    </xf>
    <xf numFmtId="0" fontId="10" fillId="0" borderId="14" xfId="0" applyFont="1" applyBorder="1" applyAlignment="1">
      <alignment horizontal="right" vertical="center"/>
    </xf>
    <xf numFmtId="0" fontId="0" fillId="0" borderId="14" xfId="0" applyBorder="1"/>
    <xf numFmtId="0" fontId="10" fillId="0" borderId="14" xfId="0" applyFont="1" applyBorder="1" applyAlignment="1">
      <alignment horizontal="left" vertical="center"/>
    </xf>
    <xf numFmtId="0" fontId="0" fillId="0" borderId="41" xfId="0" applyBorder="1" applyAlignment="1">
      <alignment vertical="center"/>
    </xf>
    <xf numFmtId="0" fontId="0" fillId="0" borderId="41" xfId="0" applyFill="1" applyBorder="1" applyAlignment="1">
      <alignment vertical="center"/>
    </xf>
    <xf numFmtId="0" fontId="13" fillId="0" borderId="41" xfId="0" applyFont="1" applyFill="1" applyBorder="1" applyAlignment="1">
      <alignment horizontal="center" textRotation="90"/>
    </xf>
    <xf numFmtId="1" fontId="13" fillId="0" borderId="41" xfId="0" applyNumberFormat="1" applyFont="1" applyBorder="1" applyAlignment="1">
      <alignment horizontal="center" textRotation="90"/>
    </xf>
    <xf numFmtId="1" fontId="13" fillId="0" borderId="41" xfId="0" applyNumberFormat="1" applyFont="1" applyFill="1" applyBorder="1" applyAlignment="1">
      <alignment horizontal="center" textRotation="90"/>
    </xf>
    <xf numFmtId="0" fontId="0" fillId="0" borderId="41" xfId="0" applyFill="1" applyBorder="1"/>
    <xf numFmtId="0" fontId="0" fillId="0" borderId="41" xfId="0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textRotation="90" wrapText="1"/>
    </xf>
    <xf numFmtId="0" fontId="6" fillId="0" borderId="0" xfId="0" applyFont="1" applyBorder="1" applyAlignment="1">
      <alignment horizontal="right" vertical="center" readingOrder="2"/>
    </xf>
    <xf numFmtId="0" fontId="5" fillId="0" borderId="0" xfId="0" applyFont="1" applyBorder="1" applyAlignment="1">
      <alignment horizontal="right" vertical="center"/>
    </xf>
    <xf numFmtId="165" fontId="5" fillId="0" borderId="0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2" fontId="5" fillId="0" borderId="25" xfId="0" applyNumberFormat="1" applyFont="1" applyFill="1" applyBorder="1" applyAlignment="1">
      <alignment horizontal="right" vertical="center"/>
    </xf>
    <xf numFmtId="166" fontId="8" fillId="0" borderId="4" xfId="0" applyNumberFormat="1" applyFont="1" applyFill="1" applyBorder="1" applyAlignment="1">
      <alignment horizontal="center" vertical="center" wrapText="1"/>
    </xf>
    <xf numFmtId="166" fontId="8" fillId="0" borderId="4" xfId="0" applyNumberFormat="1" applyFont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0" fontId="29" fillId="0" borderId="0" xfId="0" applyFont="1"/>
    <xf numFmtId="0" fontId="17" fillId="0" borderId="0" xfId="0" applyFont="1" applyBorder="1" applyAlignment="1">
      <alignment vertical="center"/>
    </xf>
    <xf numFmtId="166" fontId="6" fillId="0" borderId="0" xfId="0" applyNumberFormat="1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0" fillId="0" borderId="0" xfId="0" applyNumberFormat="1" applyAlignment="1">
      <alignment horizontal="center" vertical="center" wrapText="1"/>
    </xf>
    <xf numFmtId="165" fontId="5" fillId="0" borderId="29" xfId="0" applyNumberFormat="1" applyFont="1" applyFill="1" applyBorder="1" applyAlignment="1">
      <alignment horizontal="right" vertical="center"/>
    </xf>
    <xf numFmtId="165" fontId="7" fillId="0" borderId="21" xfId="0" applyNumberFormat="1" applyFont="1" applyFill="1" applyBorder="1" applyAlignment="1">
      <alignment horizontal="right" vertical="center"/>
    </xf>
    <xf numFmtId="2" fontId="13" fillId="0" borderId="0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vertical="center" wrapText="1"/>
    </xf>
    <xf numFmtId="165" fontId="7" fillId="8" borderId="11" xfId="0" applyNumberFormat="1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vertical="center" wrapText="1"/>
    </xf>
    <xf numFmtId="49" fontId="30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65" fontId="30" fillId="0" borderId="0" xfId="0" applyNumberFormat="1" applyFont="1" applyAlignment="1">
      <alignment vertical="center" wrapText="1"/>
    </xf>
    <xf numFmtId="165" fontId="7" fillId="0" borderId="0" xfId="0" applyNumberFormat="1" applyFont="1" applyFill="1" applyBorder="1" applyAlignment="1">
      <alignment vertical="center" wrapText="1"/>
    </xf>
    <xf numFmtId="165" fontId="7" fillId="8" borderId="9" xfId="0" applyNumberFormat="1" applyFont="1" applyFill="1" applyBorder="1" applyAlignment="1">
      <alignment vertical="center" wrapText="1"/>
    </xf>
    <xf numFmtId="165" fontId="7" fillId="0" borderId="6" xfId="0" applyNumberFormat="1" applyFont="1" applyBorder="1" applyAlignment="1">
      <alignment vertical="center" wrapText="1"/>
    </xf>
    <xf numFmtId="165" fontId="7" fillId="7" borderId="10" xfId="0" applyNumberFormat="1" applyFont="1" applyFill="1" applyBorder="1" applyAlignment="1">
      <alignment vertical="center" wrapText="1"/>
    </xf>
    <xf numFmtId="165" fontId="7" fillId="0" borderId="10" xfId="0" applyNumberFormat="1" applyFont="1" applyBorder="1" applyAlignment="1">
      <alignment vertical="center" wrapText="1"/>
    </xf>
    <xf numFmtId="165" fontId="7" fillId="0" borderId="12" xfId="0" applyNumberFormat="1" applyFont="1" applyBorder="1" applyAlignment="1">
      <alignment vertical="center" wrapText="1"/>
    </xf>
    <xf numFmtId="165" fontId="7" fillId="0" borderId="11" xfId="0" applyNumberFormat="1" applyFont="1" applyBorder="1" applyAlignment="1">
      <alignment vertical="center" wrapText="1"/>
    </xf>
    <xf numFmtId="165" fontId="7" fillId="7" borderId="14" xfId="0" applyNumberFormat="1" applyFont="1" applyFill="1" applyBorder="1" applyAlignment="1">
      <alignment vertical="center" wrapText="1"/>
    </xf>
    <xf numFmtId="165" fontId="7" fillId="8" borderId="5" xfId="0" applyNumberFormat="1" applyFont="1" applyFill="1" applyBorder="1" applyAlignment="1">
      <alignment vertical="center" wrapText="1"/>
    </xf>
    <xf numFmtId="166" fontId="7" fillId="0" borderId="4" xfId="0" applyNumberFormat="1" applyFont="1" applyBorder="1" applyAlignment="1">
      <alignment horizontal="center" vertical="center" wrapText="1"/>
    </xf>
    <xf numFmtId="165" fontId="7" fillId="0" borderId="13" xfId="0" applyNumberFormat="1" applyFont="1" applyBorder="1" applyAlignment="1">
      <alignment vertical="center" wrapText="1"/>
    </xf>
    <xf numFmtId="165" fontId="7" fillId="6" borderId="13" xfId="0" applyNumberFormat="1" applyFont="1" applyFill="1" applyBorder="1" applyAlignment="1">
      <alignment vertical="center" wrapText="1"/>
    </xf>
    <xf numFmtId="165" fontId="7" fillId="6" borderId="12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65" fontId="7" fillId="0" borderId="4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2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right" vertical="center" wrapText="1"/>
    </xf>
    <xf numFmtId="165" fontId="7" fillId="0" borderId="9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165" fontId="7" fillId="0" borderId="15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right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left" vertical="center" wrapText="1"/>
    </xf>
    <xf numFmtId="165" fontId="13" fillId="0" borderId="0" xfId="0" applyNumberFormat="1" applyFont="1" applyAlignment="1">
      <alignment horizontal="center" vertical="center"/>
    </xf>
    <xf numFmtId="165" fontId="7" fillId="0" borderId="15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168" fontId="13" fillId="0" borderId="0" xfId="6" applyNumberFormat="1" applyFont="1" applyAlignment="1">
      <alignment horizontal="center" vertical="center"/>
    </xf>
    <xf numFmtId="170" fontId="11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vertical="center" wrapText="1"/>
    </xf>
    <xf numFmtId="2" fontId="0" fillId="0" borderId="0" xfId="0" applyNumberFormat="1" applyAlignment="1">
      <alignment horizontal="center" vertical="center"/>
    </xf>
    <xf numFmtId="0" fontId="10" fillId="0" borderId="38" xfId="0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165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readingOrder="2"/>
    </xf>
    <xf numFmtId="165" fontId="6" fillId="0" borderId="0" xfId="0" applyNumberFormat="1" applyFont="1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/>
    </xf>
    <xf numFmtId="165" fontId="0" fillId="0" borderId="0" xfId="0" applyNumberFormat="1" applyBorder="1" applyAlignment="1">
      <alignment horizontal="left"/>
    </xf>
    <xf numFmtId="2" fontId="7" fillId="0" borderId="4" xfId="0" applyNumberFormat="1" applyFont="1" applyFill="1" applyBorder="1" applyAlignment="1">
      <alignment vertical="center" wrapText="1"/>
    </xf>
    <xf numFmtId="165" fontId="7" fillId="0" borderId="6" xfId="0" applyNumberFormat="1" applyFont="1" applyFill="1" applyBorder="1" applyAlignment="1">
      <alignment vertical="center" wrapText="1"/>
    </xf>
    <xf numFmtId="2" fontId="7" fillId="0" borderId="6" xfId="0" applyNumberFormat="1" applyFont="1" applyFill="1" applyBorder="1" applyAlignment="1">
      <alignment vertical="center" wrapText="1"/>
    </xf>
    <xf numFmtId="2" fontId="5" fillId="0" borderId="29" xfId="0" applyNumberFormat="1" applyFont="1" applyFill="1" applyBorder="1" applyAlignment="1">
      <alignment horizontal="right" vertical="center"/>
    </xf>
    <xf numFmtId="2" fontId="5" fillId="0" borderId="28" xfId="0" applyNumberFormat="1" applyFont="1" applyFill="1" applyBorder="1" applyAlignment="1">
      <alignment horizontal="right" vertical="center"/>
    </xf>
    <xf numFmtId="165" fontId="5" fillId="0" borderId="21" xfId="0" applyNumberFormat="1" applyFont="1" applyFill="1" applyBorder="1" applyAlignment="1">
      <alignment horizontal="right" vertical="center"/>
    </xf>
    <xf numFmtId="2" fontId="5" fillId="0" borderId="21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Alignment="1">
      <alignment vertical="center"/>
    </xf>
    <xf numFmtId="0" fontId="7" fillId="3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65" fontId="7" fillId="9" borderId="4" xfId="0" applyNumberFormat="1" applyFont="1" applyFill="1" applyBorder="1" applyAlignment="1">
      <alignment vertical="center" wrapText="1"/>
    </xf>
    <xf numFmtId="2" fontId="7" fillId="9" borderId="4" xfId="0" applyNumberFormat="1" applyFont="1" applyFill="1" applyBorder="1" applyAlignment="1">
      <alignment vertical="center" wrapText="1"/>
    </xf>
    <xf numFmtId="0" fontId="7" fillId="9" borderId="4" xfId="0" applyFont="1" applyFill="1" applyBorder="1" applyAlignment="1">
      <alignment horizontal="left" vertical="center" wrapText="1"/>
    </xf>
    <xf numFmtId="166" fontId="8" fillId="9" borderId="4" xfId="0" applyNumberFormat="1" applyFont="1" applyFill="1" applyBorder="1" applyAlignment="1">
      <alignment horizontal="center" vertical="center" wrapText="1"/>
    </xf>
    <xf numFmtId="165" fontId="7" fillId="9" borderId="7" xfId="0" applyNumberFormat="1" applyFont="1" applyFill="1" applyBorder="1" applyAlignment="1">
      <alignment vertical="center" wrapText="1"/>
    </xf>
    <xf numFmtId="2" fontId="7" fillId="9" borderId="7" xfId="0" applyNumberFormat="1" applyFont="1" applyFill="1" applyBorder="1" applyAlignment="1">
      <alignment vertical="center" wrapText="1"/>
    </xf>
    <xf numFmtId="0" fontId="7" fillId="9" borderId="7" xfId="0" applyFont="1" applyFill="1" applyBorder="1" applyAlignment="1">
      <alignment horizontal="left" vertical="center" wrapText="1"/>
    </xf>
    <xf numFmtId="166" fontId="8" fillId="9" borderId="7" xfId="0" applyNumberFormat="1" applyFon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165" fontId="0" fillId="0" borderId="0" xfId="0" applyNumberFormat="1" applyFill="1" applyAlignment="1">
      <alignment vertical="center"/>
    </xf>
    <xf numFmtId="164" fontId="5" fillId="0" borderId="0" xfId="6" applyFont="1" applyBorder="1" applyAlignment="1">
      <alignment horizontal="center" vertical="center" wrapText="1"/>
    </xf>
    <xf numFmtId="164" fontId="0" fillId="0" borderId="0" xfId="6" applyFont="1" applyBorder="1" applyAlignment="1">
      <alignment vertical="center"/>
    </xf>
    <xf numFmtId="43" fontId="0" fillId="0" borderId="0" xfId="0" applyNumberFormat="1" applyBorder="1" applyAlignment="1">
      <alignment vertical="center"/>
    </xf>
    <xf numFmtId="164" fontId="0" fillId="0" borderId="0" xfId="6" applyFont="1" applyFill="1" applyAlignment="1">
      <alignment vertical="center"/>
    </xf>
    <xf numFmtId="168" fontId="0" fillId="0" borderId="0" xfId="6" applyNumberFormat="1" applyFont="1" applyFill="1" applyAlignment="1">
      <alignment vertical="center"/>
    </xf>
    <xf numFmtId="0" fontId="7" fillId="0" borderId="24" xfId="0" applyFont="1" applyFill="1" applyBorder="1" applyAlignment="1">
      <alignment horizontal="right" vertical="center" wrapText="1"/>
    </xf>
    <xf numFmtId="165" fontId="5" fillId="0" borderId="29" xfId="6" applyNumberFormat="1" applyFont="1" applyFill="1" applyBorder="1" applyAlignment="1">
      <alignment horizontal="right" vertical="center"/>
    </xf>
    <xf numFmtId="0" fontId="6" fillId="0" borderId="27" xfId="0" applyFont="1" applyFill="1" applyBorder="1" applyAlignment="1">
      <alignment horizontal="right" vertical="center" wrapText="1"/>
    </xf>
    <xf numFmtId="165" fontId="5" fillId="0" borderId="29" xfId="0" applyNumberFormat="1" applyFont="1" applyFill="1" applyBorder="1" applyAlignment="1">
      <alignment vertical="center" wrapText="1"/>
    </xf>
    <xf numFmtId="2" fontId="5" fillId="0" borderId="29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right" vertical="center" wrapText="1"/>
    </xf>
    <xf numFmtId="165" fontId="7" fillId="0" borderId="2" xfId="0" applyNumberFormat="1" applyFont="1" applyFill="1" applyBorder="1" applyAlignment="1">
      <alignment vertical="center" wrapText="1"/>
    </xf>
    <xf numFmtId="2" fontId="7" fillId="0" borderId="2" xfId="0" applyNumberFormat="1" applyFont="1" applyFill="1" applyBorder="1" applyAlignment="1">
      <alignment vertical="center" wrapText="1"/>
    </xf>
    <xf numFmtId="165" fontId="7" fillId="0" borderId="5" xfId="0" applyNumberFormat="1" applyFont="1" applyFill="1" applyBorder="1" applyAlignment="1">
      <alignment vertical="center" wrapText="1"/>
    </xf>
    <xf numFmtId="2" fontId="7" fillId="0" borderId="5" xfId="0" applyNumberFormat="1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horizontal="center" vertical="center" wrapText="1" readingOrder="2"/>
    </xf>
    <xf numFmtId="165" fontId="7" fillId="0" borderId="4" xfId="0" applyNumberFormat="1" applyFont="1" applyFill="1" applyBorder="1" applyAlignment="1">
      <alignment vertical="center"/>
    </xf>
    <xf numFmtId="165" fontId="7" fillId="0" borderId="16" xfId="0" applyNumberFormat="1" applyFont="1" applyFill="1" applyBorder="1" applyAlignment="1">
      <alignment vertical="center" wrapText="1"/>
    </xf>
    <xf numFmtId="2" fontId="7" fillId="0" borderId="16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right" vertical="center" wrapText="1"/>
    </xf>
    <xf numFmtId="165" fontId="7" fillId="0" borderId="2" xfId="0" applyNumberFormat="1" applyFont="1" applyFill="1" applyBorder="1" applyAlignment="1">
      <alignment horizontal="left" vertical="center" wrapText="1"/>
    </xf>
    <xf numFmtId="49" fontId="7" fillId="0" borderId="16" xfId="0" applyNumberFormat="1" applyFont="1" applyFill="1" applyBorder="1" applyAlignment="1">
      <alignment horizontal="center" vertical="center" wrapText="1"/>
    </xf>
    <xf numFmtId="168" fontId="7" fillId="0" borderId="4" xfId="6" applyNumberFormat="1" applyFont="1" applyFill="1" applyBorder="1" applyAlignment="1">
      <alignment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right" vertical="center" wrapText="1"/>
    </xf>
    <xf numFmtId="165" fontId="7" fillId="0" borderId="7" xfId="0" applyNumberFormat="1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right" vertical="center" wrapText="1"/>
    </xf>
    <xf numFmtId="165" fontId="7" fillId="0" borderId="8" xfId="0" applyNumberFormat="1" applyFont="1" applyFill="1" applyBorder="1" applyAlignment="1">
      <alignment vertical="center" wrapText="1"/>
    </xf>
    <xf numFmtId="165" fontId="8" fillId="0" borderId="0" xfId="0" applyNumberFormat="1" applyFont="1" applyFill="1" applyAlignment="1">
      <alignment vertical="center"/>
    </xf>
    <xf numFmtId="165" fontId="7" fillId="0" borderId="15" xfId="0" applyNumberFormat="1" applyFont="1" applyFill="1" applyBorder="1" applyAlignment="1">
      <alignment vertical="center" wrapText="1"/>
    </xf>
    <xf numFmtId="165" fontId="7" fillId="0" borderId="0" xfId="0" applyNumberFormat="1" applyFont="1" applyBorder="1" applyAlignment="1">
      <alignment horizontal="left" vertical="center" wrapText="1"/>
    </xf>
    <xf numFmtId="168" fontId="8" fillId="0" borderId="2" xfId="6" applyNumberFormat="1" applyFont="1" applyBorder="1" applyAlignment="1">
      <alignment horizontal="center" vertical="center"/>
    </xf>
    <xf numFmtId="168" fontId="8" fillId="0" borderId="4" xfId="6" applyNumberFormat="1" applyFont="1" applyFill="1" applyBorder="1" applyAlignment="1">
      <alignment horizontal="center" vertical="center" wrapText="1"/>
    </xf>
    <xf numFmtId="168" fontId="8" fillId="0" borderId="4" xfId="6" applyNumberFormat="1" applyFont="1" applyBorder="1" applyAlignment="1">
      <alignment horizontal="center" vertical="center"/>
    </xf>
    <xf numFmtId="168" fontId="8" fillId="0" borderId="8" xfId="6" applyNumberFormat="1" applyFont="1" applyFill="1" applyBorder="1" applyAlignment="1">
      <alignment horizontal="center" vertical="center" wrapText="1"/>
    </xf>
    <xf numFmtId="168" fontId="8" fillId="0" borderId="8" xfId="6" applyNumberFormat="1" applyFont="1" applyBorder="1" applyAlignment="1">
      <alignment horizontal="center" vertical="center"/>
    </xf>
    <xf numFmtId="164" fontId="0" fillId="0" borderId="0" xfId="6" applyFont="1" applyAlignment="1">
      <alignment horizontal="left"/>
    </xf>
    <xf numFmtId="164" fontId="0" fillId="0" borderId="0" xfId="0" applyNumberFormat="1"/>
    <xf numFmtId="2" fontId="7" fillId="9" borderId="8" xfId="0" applyNumberFormat="1" applyFont="1" applyFill="1" applyBorder="1" applyAlignment="1">
      <alignment vertical="center" wrapText="1"/>
    </xf>
    <xf numFmtId="2" fontId="0" fillId="0" borderId="0" xfId="0" applyNumberFormat="1" applyFill="1" applyAlignment="1">
      <alignment vertical="center"/>
    </xf>
    <xf numFmtId="0" fontId="17" fillId="0" borderId="0" xfId="0" applyFont="1" applyBorder="1" applyAlignment="1">
      <alignment horizontal="right" vertical="center" wrapText="1"/>
    </xf>
    <xf numFmtId="0" fontId="21" fillId="3" borderId="36" xfId="0" applyFont="1" applyFill="1" applyBorder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0" fontId="17" fillId="3" borderId="39" xfId="0" applyFont="1" applyFill="1" applyBorder="1" applyAlignment="1">
      <alignment horizontal="right" vertical="center" wrapText="1"/>
    </xf>
    <xf numFmtId="0" fontId="17" fillId="3" borderId="40" xfId="0" applyFont="1" applyFill="1" applyBorder="1" applyAlignment="1">
      <alignment horizontal="right" vertical="center" wrapText="1"/>
    </xf>
    <xf numFmtId="0" fontId="17" fillId="3" borderId="10" xfId="0" applyFont="1" applyFill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12" fillId="0" borderId="15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top" textRotation="90"/>
    </xf>
    <xf numFmtId="0" fontId="1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readingOrder="2"/>
    </xf>
    <xf numFmtId="0" fontId="6" fillId="0" borderId="1" xfId="0" applyFont="1" applyBorder="1" applyAlignment="1">
      <alignment horizontal="right" vertical="center" readingOrder="2"/>
    </xf>
    <xf numFmtId="0" fontId="5" fillId="0" borderId="0" xfId="0" applyFont="1" applyBorder="1" applyAlignment="1">
      <alignment horizontal="left"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9" borderId="4" xfId="0" applyNumberFormat="1" applyFont="1" applyFill="1" applyBorder="1" applyAlignment="1">
      <alignment horizontal="center" vertical="center" wrapText="1"/>
    </xf>
    <xf numFmtId="49" fontId="7" fillId="9" borderId="4" xfId="0" applyNumberFormat="1" applyFont="1" applyFill="1" applyBorder="1" applyAlignment="1">
      <alignment horizontal="center" vertical="center" wrapText="1"/>
    </xf>
    <xf numFmtId="49" fontId="7" fillId="9" borderId="8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</cellXfs>
  <cellStyles count="8">
    <cellStyle name="Comma" xfId="6" builtinId="3"/>
    <cellStyle name="Comma 2" xfId="7"/>
    <cellStyle name="Normal" xfId="0" builtinId="0"/>
    <cellStyle name="Normal 2" xfId="5"/>
    <cellStyle name="عملة [0]_تعاون انعام66" xfId="1"/>
    <cellStyle name="عملة_تعاون انعام66" xfId="2"/>
    <cellStyle name="فاصلة [0]_تعاون انعام66" xfId="3"/>
    <cellStyle name="فاصلة_تعاون انعام6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r-IQ" sz="1400"/>
              <a:t>شكل (1)الاهميات النسبية للناتج</a:t>
            </a:r>
            <a:r>
              <a:rPr lang="ar-IQ" sz="1400" baseline="0"/>
              <a:t> المحلي الاجمالي بالاسعار الاساسية الجارية حسب مجموعات الانشطة (السلعية ، التوزيعية ، الخدمية) لسنة 2018(%)</a:t>
            </a:r>
            <a:endParaRPr lang="ar-IQ" sz="1400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0.19437840518957111"/>
                  <c:y val="-8.1353302292184348E-2"/>
                </c:manualLayout>
              </c:layout>
              <c:tx>
                <c:rich>
                  <a:bodyPr/>
                  <a:lstStyle/>
                  <a:p>
                    <a:r>
                      <a:rPr lang="ar-IQ"/>
                      <a:t>الانشطة السلعية
</a:t>
                    </a:r>
                    <a:r>
                      <a:rPr lang="en-US"/>
                      <a:t>56.32</a:t>
                    </a:r>
                    <a:r>
                      <a:rPr lang="ar-IQ"/>
                      <a:t>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7529768198328191"/>
                  <c:y val="-0.13385440168328766"/>
                </c:manualLayout>
              </c:layout>
              <c:tx>
                <c:rich>
                  <a:bodyPr/>
                  <a:lstStyle/>
                  <a:p>
                    <a:r>
                      <a:rPr lang="ar-IQ"/>
                      <a:t>الانشطة التوزيعية
</a:t>
                    </a:r>
                    <a:r>
                      <a:rPr lang="en-US"/>
                      <a:t>20.19</a:t>
                    </a:r>
                    <a:r>
                      <a:rPr lang="ar-IQ"/>
                      <a:t>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8809046609115343"/>
                  <c:y val="5.8784739426890407E-2"/>
                </c:manualLayout>
              </c:layout>
              <c:tx>
                <c:rich>
                  <a:bodyPr/>
                  <a:lstStyle/>
                  <a:p>
                    <a:r>
                      <a:rPr lang="ar-IQ"/>
                      <a:t>الانشطة الخدمية
</a:t>
                    </a:r>
                    <a:r>
                      <a:rPr lang="en-US"/>
                      <a:t>23.49</a:t>
                    </a:r>
                    <a:r>
                      <a:rPr lang="ar-IQ"/>
                      <a:t>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'جدول 3'!$A$5:$A$7</c:f>
              <c:strCache>
                <c:ptCount val="3"/>
                <c:pt idx="0">
                  <c:v>الانشطة السلعية</c:v>
                </c:pt>
                <c:pt idx="1">
                  <c:v>الانشطة التوزيعية</c:v>
                </c:pt>
                <c:pt idx="2">
                  <c:v>الانشطة الخدمية</c:v>
                </c:pt>
              </c:strCache>
            </c:strRef>
          </c:cat>
          <c:val>
            <c:numRef>
              <c:f>'جدول 3'!$C$5:$C$7</c:f>
              <c:numCache>
                <c:formatCode>0.00</c:formatCode>
                <c:ptCount val="3"/>
                <c:pt idx="0">
                  <c:v>56.322873714878426</c:v>
                </c:pt>
                <c:pt idx="1">
                  <c:v>20.191989280188512</c:v>
                </c:pt>
                <c:pt idx="2">
                  <c:v>23.485137004933069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10</xdr:row>
      <xdr:rowOff>66677</xdr:rowOff>
    </xdr:from>
    <xdr:to>
      <xdr:col>3</xdr:col>
      <xdr:colOff>2047875</xdr:colOff>
      <xdr:row>34</xdr:row>
      <xdr:rowOff>57151</xdr:rowOff>
    </xdr:to>
    <xdr:graphicFrame macro="">
      <xdr:nvGraphicFramePr>
        <xdr:cNvPr id="5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rightToLeft="1" view="pageBreakPreview" topLeftCell="A25" zoomScaleSheetLayoutView="100" workbookViewId="0">
      <selection activeCell="A8" sqref="A8"/>
    </sheetView>
  </sheetViews>
  <sheetFormatPr defaultRowHeight="35.1" customHeight="1"/>
  <cols>
    <col min="1" max="1" width="97.140625" style="76" customWidth="1"/>
    <col min="2" max="2" width="13.28515625" style="34" customWidth="1"/>
    <col min="3" max="16384" width="9.140625" style="34"/>
  </cols>
  <sheetData>
    <row r="1" spans="1:4" ht="47.25" customHeight="1" thickBot="1">
      <c r="A1" s="344" t="s">
        <v>159</v>
      </c>
      <c r="B1" s="344"/>
    </row>
    <row r="2" spans="1:4" ht="43.5" customHeight="1" thickTop="1">
      <c r="A2" s="343" t="s">
        <v>159</v>
      </c>
      <c r="B2" s="93" t="s">
        <v>200</v>
      </c>
    </row>
    <row r="3" spans="1:4" ht="30.75" customHeight="1">
      <c r="A3" s="156" t="s">
        <v>160</v>
      </c>
      <c r="B3" s="157">
        <v>1</v>
      </c>
    </row>
    <row r="4" spans="1:4" ht="30" customHeight="1">
      <c r="A4" s="156" t="s">
        <v>161</v>
      </c>
      <c r="B4" s="157">
        <v>2</v>
      </c>
    </row>
    <row r="5" spans="1:4" ht="30" customHeight="1">
      <c r="A5" s="156" t="s">
        <v>162</v>
      </c>
      <c r="B5" s="158" t="s">
        <v>57</v>
      </c>
    </row>
    <row r="6" spans="1:4" ht="33" customHeight="1">
      <c r="A6" s="156" t="s">
        <v>163</v>
      </c>
      <c r="B6" s="260" t="s">
        <v>211</v>
      </c>
    </row>
    <row r="7" spans="1:4" ht="33" customHeight="1">
      <c r="A7" s="345" t="s">
        <v>280</v>
      </c>
      <c r="B7" s="346"/>
    </row>
    <row r="8" spans="1:4" ht="35.1" customHeight="1">
      <c r="A8" s="159" t="s">
        <v>256</v>
      </c>
      <c r="B8" s="157">
        <v>6</v>
      </c>
      <c r="C8" s="77"/>
      <c r="D8" s="77"/>
    </row>
    <row r="9" spans="1:4" ht="35.1" customHeight="1">
      <c r="A9" s="159" t="s">
        <v>257</v>
      </c>
      <c r="B9" s="157">
        <v>7</v>
      </c>
    </row>
    <row r="10" spans="1:4" ht="35.1" customHeight="1">
      <c r="A10" s="159" t="s">
        <v>214</v>
      </c>
      <c r="B10" s="157">
        <v>8</v>
      </c>
    </row>
    <row r="11" spans="1:4" ht="35.1" customHeight="1">
      <c r="A11" s="159" t="s">
        <v>215</v>
      </c>
      <c r="B11" s="157">
        <v>9</v>
      </c>
    </row>
    <row r="12" spans="1:4" ht="32.25" customHeight="1">
      <c r="A12" s="159" t="s">
        <v>216</v>
      </c>
      <c r="B12" s="157">
        <v>10</v>
      </c>
    </row>
    <row r="13" spans="1:4" ht="30" customHeight="1">
      <c r="A13" s="159" t="s">
        <v>217</v>
      </c>
      <c r="B13" s="157">
        <v>11</v>
      </c>
    </row>
    <row r="14" spans="1:4" ht="35.1" customHeight="1">
      <c r="A14" s="159" t="s">
        <v>218</v>
      </c>
      <c r="B14" s="157">
        <v>12</v>
      </c>
    </row>
    <row r="15" spans="1:4" ht="35.1" customHeight="1">
      <c r="A15" s="159" t="s">
        <v>219</v>
      </c>
      <c r="B15" s="157">
        <v>13</v>
      </c>
    </row>
    <row r="16" spans="1:4" ht="38.25" customHeight="1">
      <c r="A16" s="159" t="s">
        <v>220</v>
      </c>
      <c r="B16" s="157">
        <v>14</v>
      </c>
    </row>
    <row r="17" spans="1:2" ht="34.5" customHeight="1">
      <c r="A17" s="159" t="s">
        <v>221</v>
      </c>
      <c r="B17" s="157">
        <v>15</v>
      </c>
    </row>
    <row r="18" spans="1:2" ht="37.5" customHeight="1">
      <c r="A18" s="159" t="s">
        <v>222</v>
      </c>
      <c r="B18" s="157">
        <v>16</v>
      </c>
    </row>
    <row r="19" spans="1:2" ht="34.5" customHeight="1">
      <c r="A19" s="159" t="s">
        <v>223</v>
      </c>
      <c r="B19" s="157">
        <v>17</v>
      </c>
    </row>
    <row r="20" spans="1:2" ht="35.1" customHeight="1">
      <c r="A20" s="159" t="s">
        <v>224</v>
      </c>
      <c r="B20" s="157">
        <v>18</v>
      </c>
    </row>
    <row r="21" spans="1:2" ht="28.5" customHeight="1">
      <c r="A21" s="159" t="s">
        <v>225</v>
      </c>
      <c r="B21" s="157">
        <v>19</v>
      </c>
    </row>
    <row r="22" spans="1:2" ht="29.25" customHeight="1">
      <c r="A22" s="159" t="s">
        <v>226</v>
      </c>
      <c r="B22" s="157">
        <v>20</v>
      </c>
    </row>
    <row r="23" spans="1:2" ht="35.1" customHeight="1">
      <c r="A23" s="159" t="s">
        <v>227</v>
      </c>
      <c r="B23" s="157">
        <v>21</v>
      </c>
    </row>
    <row r="24" spans="1:2" s="78" customFormat="1" ht="28.5" customHeight="1">
      <c r="A24" s="347" t="s">
        <v>281</v>
      </c>
      <c r="B24" s="347"/>
    </row>
    <row r="25" spans="1:2" ht="34.5" customHeight="1">
      <c r="A25" s="159" t="s">
        <v>228</v>
      </c>
      <c r="B25" s="157">
        <v>8</v>
      </c>
    </row>
    <row r="26" spans="1:2" s="78" customFormat="1" ht="41.25" customHeight="1" thickBot="1">
      <c r="A26" s="342"/>
      <c r="B26" s="79"/>
    </row>
    <row r="27" spans="1:2" s="78" customFormat="1" ht="26.25" customHeight="1">
      <c r="A27" s="348" t="s">
        <v>201</v>
      </c>
      <c r="B27" s="349"/>
    </row>
    <row r="28" spans="1:2" s="78" customFormat="1" ht="35.1" customHeight="1">
      <c r="A28" s="57"/>
      <c r="B28" s="79"/>
    </row>
    <row r="29" spans="1:2" s="78" customFormat="1" ht="35.1" customHeight="1">
      <c r="A29" s="80"/>
      <c r="B29" s="79"/>
    </row>
    <row r="30" spans="1:2" s="78" customFormat="1" ht="35.1" customHeight="1">
      <c r="A30" s="80"/>
      <c r="B30" s="79"/>
    </row>
    <row r="31" spans="1:2" s="78" customFormat="1" ht="40.5" customHeight="1">
      <c r="A31" s="80"/>
      <c r="B31" s="79"/>
    </row>
    <row r="32" spans="1:2" s="78" customFormat="1" ht="36.75" customHeight="1">
      <c r="A32" s="80"/>
      <c r="B32" s="79"/>
    </row>
    <row r="33" spans="1:2" s="78" customFormat="1" ht="39.75" customHeight="1">
      <c r="A33" s="80"/>
      <c r="B33" s="79"/>
    </row>
    <row r="34" spans="1:2" s="78" customFormat="1" ht="35.1" customHeight="1">
      <c r="A34" s="80"/>
      <c r="B34" s="79"/>
    </row>
    <row r="35" spans="1:2" s="78" customFormat="1" ht="35.1" customHeight="1">
      <c r="A35" s="75"/>
    </row>
  </sheetData>
  <mergeCells count="4">
    <mergeCell ref="A1:B1"/>
    <mergeCell ref="A7:B7"/>
    <mergeCell ref="A24:B24"/>
    <mergeCell ref="A27:B27"/>
  </mergeCells>
  <phoneticPr fontId="2" type="noConversion"/>
  <printOptions horizontalCentered="1"/>
  <pageMargins left="0.27" right="0.24" top="0.47" bottom="0.511811023622047" header="0.31496062992126" footer="0.196850393700787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40"/>
  <sheetViews>
    <sheetView rightToLeft="1" view="pageBreakPreview" zoomScaleNormal="80" zoomScaleSheetLayoutView="100" workbookViewId="0">
      <selection sqref="A1:A8"/>
    </sheetView>
  </sheetViews>
  <sheetFormatPr defaultRowHeight="12.75"/>
  <cols>
    <col min="1" max="1" width="5.7109375" style="2" customWidth="1"/>
    <col min="2" max="2" width="4.28515625" style="2" customWidth="1"/>
    <col min="3" max="3" width="6.7109375" style="2" customWidth="1"/>
    <col min="4" max="4" width="24.5703125" style="2" customWidth="1"/>
    <col min="5" max="5" width="15.42578125" style="2" bestFit="1" customWidth="1"/>
    <col min="6" max="6" width="13.7109375" style="2" bestFit="1" customWidth="1"/>
    <col min="7" max="7" width="17.42578125" style="2" customWidth="1"/>
    <col min="8" max="8" width="10" style="2" customWidth="1"/>
    <col min="9" max="9" width="36.7109375" style="2" customWidth="1"/>
    <col min="10" max="10" width="6.7109375" style="2" customWidth="1"/>
    <col min="11" max="11" width="14" style="2" customWidth="1"/>
    <col min="12" max="12" width="9.5703125" style="2" bestFit="1" customWidth="1"/>
    <col min="13" max="13" width="9.140625" style="2"/>
    <col min="14" max="14" width="13.42578125" style="2" customWidth="1"/>
    <col min="15" max="15" width="9.140625" style="2"/>
    <col min="16" max="16" width="12" style="2" bestFit="1" customWidth="1"/>
    <col min="17" max="16384" width="9.140625" style="2"/>
  </cols>
  <sheetData>
    <row r="1" spans="1:12" s="88" customFormat="1" ht="33.75" customHeight="1">
      <c r="A1" s="353" t="s">
        <v>201</v>
      </c>
      <c r="C1" s="381" t="s">
        <v>242</v>
      </c>
      <c r="D1" s="381"/>
      <c r="E1" s="381"/>
      <c r="F1" s="381"/>
      <c r="G1" s="381"/>
      <c r="H1" s="381"/>
      <c r="I1" s="381"/>
      <c r="J1" s="381"/>
    </row>
    <row r="2" spans="1:12" s="88" customFormat="1" ht="39" customHeight="1" thickBot="1">
      <c r="A2" s="353"/>
      <c r="C2" s="382" t="s">
        <v>243</v>
      </c>
      <c r="D2" s="382"/>
      <c r="E2" s="382"/>
      <c r="F2" s="382"/>
      <c r="G2" s="382"/>
      <c r="H2" s="382"/>
      <c r="I2" s="382"/>
      <c r="J2" s="382"/>
    </row>
    <row r="3" spans="1:12" ht="36.950000000000003" customHeight="1" thickTop="1" thickBot="1">
      <c r="A3" s="353"/>
      <c r="C3" s="395" t="s">
        <v>44</v>
      </c>
      <c r="D3" s="362" t="s">
        <v>45</v>
      </c>
      <c r="E3" s="282" t="s">
        <v>83</v>
      </c>
      <c r="F3" s="282" t="s">
        <v>91</v>
      </c>
      <c r="G3" s="282" t="s">
        <v>195</v>
      </c>
      <c r="H3" s="282" t="s">
        <v>91</v>
      </c>
      <c r="I3" s="366" t="s">
        <v>46</v>
      </c>
      <c r="J3" s="395" t="s">
        <v>47</v>
      </c>
    </row>
    <row r="4" spans="1:12" ht="36.950000000000003" customHeight="1" thickBot="1">
      <c r="A4" s="353"/>
      <c r="C4" s="363"/>
      <c r="D4" s="363"/>
      <c r="E4" s="116" t="s">
        <v>95</v>
      </c>
      <c r="F4" s="117" t="s">
        <v>94</v>
      </c>
      <c r="G4" s="117" t="s">
        <v>197</v>
      </c>
      <c r="H4" s="117" t="s">
        <v>196</v>
      </c>
      <c r="I4" s="367"/>
      <c r="J4" s="363"/>
    </row>
    <row r="5" spans="1:12" s="32" customFormat="1" ht="21.75" customHeight="1">
      <c r="A5" s="353"/>
      <c r="C5" s="9">
        <v>1</v>
      </c>
      <c r="D5" s="308" t="s">
        <v>48</v>
      </c>
      <c r="E5" s="309">
        <v>7572265.0999999996</v>
      </c>
      <c r="F5" s="310">
        <v>2.78</v>
      </c>
      <c r="G5" s="311">
        <v>5318242.3</v>
      </c>
      <c r="H5" s="312">
        <v>2.5099999999999998</v>
      </c>
      <c r="I5" s="10" t="s">
        <v>49</v>
      </c>
      <c r="J5" s="181">
        <v>1</v>
      </c>
      <c r="K5" s="293"/>
      <c r="L5" s="119"/>
    </row>
    <row r="6" spans="1:12" s="32" customFormat="1" ht="21.75" customHeight="1">
      <c r="A6" s="353"/>
      <c r="C6" s="11">
        <v>2</v>
      </c>
      <c r="D6" s="12" t="s">
        <v>50</v>
      </c>
      <c r="E6" s="194">
        <f>E7+E8</f>
        <v>120616218.19999999</v>
      </c>
      <c r="F6" s="274">
        <f>F7+F8</f>
        <v>44.33</v>
      </c>
      <c r="G6" s="194">
        <f>G7+G8</f>
        <v>128159524.8</v>
      </c>
      <c r="H6" s="312">
        <f>H7+H8</f>
        <v>60.38</v>
      </c>
      <c r="I6" s="5" t="s">
        <v>51</v>
      </c>
      <c r="J6" s="182">
        <v>2</v>
      </c>
      <c r="K6" s="293"/>
      <c r="L6" s="119"/>
    </row>
    <row r="7" spans="1:12" s="32" customFormat="1" ht="21.75" customHeight="1">
      <c r="A7" s="353"/>
      <c r="C7" s="313" t="s">
        <v>205</v>
      </c>
      <c r="D7" s="12" t="s">
        <v>108</v>
      </c>
      <c r="E7" s="194">
        <v>120174322.09999999</v>
      </c>
      <c r="F7" s="274">
        <v>44.17</v>
      </c>
      <c r="G7" s="311">
        <v>127885395.7</v>
      </c>
      <c r="H7" s="312">
        <v>60.25</v>
      </c>
      <c r="I7" s="5" t="s">
        <v>54</v>
      </c>
      <c r="J7" s="179" t="s">
        <v>52</v>
      </c>
      <c r="K7" s="293"/>
    </row>
    <row r="8" spans="1:12" s="32" customFormat="1" ht="21.75" customHeight="1">
      <c r="A8" s="353"/>
      <c r="C8" s="37" t="s">
        <v>55</v>
      </c>
      <c r="D8" s="12" t="s">
        <v>279</v>
      </c>
      <c r="E8" s="194">
        <v>441896.1</v>
      </c>
      <c r="F8" s="274">
        <v>0.16</v>
      </c>
      <c r="G8" s="311">
        <v>274129.09999999998</v>
      </c>
      <c r="H8" s="312">
        <v>0.13</v>
      </c>
      <c r="I8" s="5" t="s">
        <v>56</v>
      </c>
      <c r="J8" s="179" t="s">
        <v>55</v>
      </c>
      <c r="K8" s="293"/>
    </row>
    <row r="9" spans="1:12" s="32" customFormat="1" ht="21.75" customHeight="1">
      <c r="A9" s="166"/>
      <c r="C9" s="38">
        <v>3</v>
      </c>
      <c r="D9" s="12" t="s">
        <v>58</v>
      </c>
      <c r="E9" s="314">
        <v>5464371.5999999996</v>
      </c>
      <c r="F9" s="274">
        <v>2.0099999999999998</v>
      </c>
      <c r="G9" s="311">
        <v>2168401.4</v>
      </c>
      <c r="H9" s="312">
        <v>1.02</v>
      </c>
      <c r="I9" s="5" t="s">
        <v>59</v>
      </c>
      <c r="J9" s="179" t="s">
        <v>57</v>
      </c>
      <c r="K9" s="293"/>
    </row>
    <row r="10" spans="1:12" s="32" customFormat="1" ht="21.75" customHeight="1">
      <c r="A10" s="166"/>
      <c r="C10" s="38">
        <v>4</v>
      </c>
      <c r="D10" s="12" t="s">
        <v>61</v>
      </c>
      <c r="E10" s="194">
        <v>7150179.0999999996</v>
      </c>
      <c r="F10" s="274">
        <v>2.63</v>
      </c>
      <c r="G10" s="194">
        <v>2050524.5</v>
      </c>
      <c r="H10" s="274">
        <v>0.97</v>
      </c>
      <c r="I10" s="5" t="s">
        <v>0</v>
      </c>
      <c r="J10" s="179" t="s">
        <v>60</v>
      </c>
      <c r="K10" s="293"/>
    </row>
    <row r="11" spans="1:12" s="32" customFormat="1" ht="21.75" customHeight="1">
      <c r="A11" s="166"/>
      <c r="C11" s="38">
        <v>5</v>
      </c>
      <c r="D11" s="12" t="s">
        <v>2</v>
      </c>
      <c r="E11" s="194">
        <v>12442431.199999999</v>
      </c>
      <c r="F11" s="274">
        <v>4.57</v>
      </c>
      <c r="G11" s="311">
        <v>8001563.5</v>
      </c>
      <c r="H11" s="312">
        <v>3.77</v>
      </c>
      <c r="I11" s="5" t="s">
        <v>3</v>
      </c>
      <c r="J11" s="179" t="s">
        <v>1</v>
      </c>
      <c r="K11" s="293"/>
    </row>
    <row r="12" spans="1:12" s="32" customFormat="1" ht="21.75" customHeight="1">
      <c r="A12" s="166"/>
      <c r="C12" s="398" t="s">
        <v>261</v>
      </c>
      <c r="D12" s="398"/>
      <c r="E12" s="285">
        <f>E5+E7+E8+E9+E10+E11</f>
        <v>153245465.19999996</v>
      </c>
      <c r="F12" s="286">
        <f>F5+F7+F8+F9+F10+F11</f>
        <v>56.32</v>
      </c>
      <c r="G12" s="285">
        <f>G5+G7+G8+G9+G10+G11</f>
        <v>145698256.5</v>
      </c>
      <c r="H12" s="286">
        <f>H5+H7+H8+H9+H10+H11</f>
        <v>68.650000000000006</v>
      </c>
      <c r="I12" s="287" t="s">
        <v>262</v>
      </c>
      <c r="J12" s="288"/>
      <c r="K12" s="293"/>
    </row>
    <row r="13" spans="1:12" s="32" customFormat="1" ht="21.75" customHeight="1">
      <c r="A13" s="166"/>
      <c r="C13" s="38">
        <v>6</v>
      </c>
      <c r="D13" s="12" t="s">
        <v>286</v>
      </c>
      <c r="E13" s="194">
        <v>25467232.199999999</v>
      </c>
      <c r="F13" s="274">
        <v>9.36</v>
      </c>
      <c r="G13" s="315">
        <v>17092102.100000001</v>
      </c>
      <c r="H13" s="316">
        <v>8.0500000000000007</v>
      </c>
      <c r="I13" s="5" t="s">
        <v>5</v>
      </c>
      <c r="J13" s="179" t="s">
        <v>4</v>
      </c>
      <c r="K13" s="293"/>
    </row>
    <row r="14" spans="1:12" s="32" customFormat="1" ht="21.75" customHeight="1">
      <c r="A14" s="166"/>
      <c r="C14" s="38">
        <v>7</v>
      </c>
      <c r="D14" s="12" t="s">
        <v>7</v>
      </c>
      <c r="E14" s="194">
        <v>24502039.699999999</v>
      </c>
      <c r="F14" s="274">
        <v>9.01</v>
      </c>
      <c r="G14" s="194">
        <v>17858629.5</v>
      </c>
      <c r="H14" s="274">
        <v>8.41</v>
      </c>
      <c r="I14" s="125" t="s">
        <v>8</v>
      </c>
      <c r="J14" s="179" t="s">
        <v>6</v>
      </c>
      <c r="K14" s="293"/>
    </row>
    <row r="15" spans="1:12" s="32" customFormat="1" ht="21.75" customHeight="1">
      <c r="A15" s="166"/>
      <c r="C15" s="37" t="s">
        <v>206</v>
      </c>
      <c r="D15" s="12" t="s">
        <v>13</v>
      </c>
      <c r="E15" s="194">
        <v>4969877.8</v>
      </c>
      <c r="F15" s="274">
        <v>1.83</v>
      </c>
      <c r="G15" s="311">
        <v>2761043.2</v>
      </c>
      <c r="H15" s="274">
        <v>1.3</v>
      </c>
      <c r="I15" s="5" t="s">
        <v>14</v>
      </c>
      <c r="J15" s="179" t="s">
        <v>12</v>
      </c>
      <c r="K15" s="293"/>
    </row>
    <row r="16" spans="1:12" s="32" customFormat="1" ht="21.75" customHeight="1">
      <c r="A16" s="166"/>
      <c r="C16" s="399" t="s">
        <v>263</v>
      </c>
      <c r="D16" s="399"/>
      <c r="E16" s="285">
        <f>E13+E14+E15</f>
        <v>54939149.699999996</v>
      </c>
      <c r="F16" s="286">
        <f>F13+F14+F15</f>
        <v>20.199999999999996</v>
      </c>
      <c r="G16" s="285">
        <f>G13+G14+G15</f>
        <v>37711774.800000004</v>
      </c>
      <c r="H16" s="286">
        <f>H13+H14+H15</f>
        <v>17.760000000000002</v>
      </c>
      <c r="I16" s="287" t="s">
        <v>264</v>
      </c>
      <c r="J16" s="288"/>
      <c r="K16" s="293"/>
    </row>
    <row r="17" spans="1:11" s="32" customFormat="1" ht="21.75" customHeight="1">
      <c r="A17" s="166"/>
      <c r="C17" s="37" t="s">
        <v>207</v>
      </c>
      <c r="D17" s="12" t="s">
        <v>16</v>
      </c>
      <c r="E17" s="194">
        <v>16315895.9</v>
      </c>
      <c r="F17" s="274">
        <v>6</v>
      </c>
      <c r="G17" s="311">
        <v>8848099.6999999993</v>
      </c>
      <c r="H17" s="312">
        <v>4.17</v>
      </c>
      <c r="I17" s="5" t="s">
        <v>17</v>
      </c>
      <c r="J17" s="179" t="s">
        <v>15</v>
      </c>
      <c r="K17" s="293"/>
    </row>
    <row r="18" spans="1:11" s="32" customFormat="1" ht="21.75" customHeight="1">
      <c r="A18" s="166"/>
      <c r="C18" s="38">
        <v>9</v>
      </c>
      <c r="D18" s="12" t="s">
        <v>19</v>
      </c>
      <c r="E18" s="194">
        <f>E19+E20</f>
        <v>47583378.199999996</v>
      </c>
      <c r="F18" s="274">
        <f>F19+F20</f>
        <v>17.48</v>
      </c>
      <c r="G18" s="311">
        <f>G19+G20</f>
        <v>20004272.600000001</v>
      </c>
      <c r="H18" s="312">
        <f>H19+H20</f>
        <v>9.42</v>
      </c>
      <c r="I18" s="5" t="s">
        <v>20</v>
      </c>
      <c r="J18" s="179" t="s">
        <v>18</v>
      </c>
      <c r="K18" s="293"/>
    </row>
    <row r="19" spans="1:11" ht="21.75" customHeight="1">
      <c r="A19" s="165"/>
      <c r="C19" s="37" t="s">
        <v>208</v>
      </c>
      <c r="D19" s="12" t="s">
        <v>90</v>
      </c>
      <c r="E19" s="194">
        <v>38919671.799999997</v>
      </c>
      <c r="F19" s="274">
        <v>14.3</v>
      </c>
      <c r="G19" s="311">
        <v>14880850.699999999</v>
      </c>
      <c r="H19" s="312">
        <v>7.01</v>
      </c>
      <c r="I19" s="5" t="s">
        <v>89</v>
      </c>
      <c r="J19" s="180" t="s">
        <v>21</v>
      </c>
      <c r="K19" s="293"/>
    </row>
    <row r="20" spans="1:11" ht="21.75" customHeight="1">
      <c r="A20" s="165"/>
      <c r="C20" s="37" t="s">
        <v>209</v>
      </c>
      <c r="D20" s="12" t="s">
        <v>23</v>
      </c>
      <c r="E20" s="194">
        <v>8663706.4000000004</v>
      </c>
      <c r="F20" s="274">
        <v>3.18</v>
      </c>
      <c r="G20" s="311">
        <v>5123421.9000000004</v>
      </c>
      <c r="H20" s="312">
        <v>2.41</v>
      </c>
      <c r="I20" s="120" t="s">
        <v>24</v>
      </c>
      <c r="J20" s="210" t="s">
        <v>22</v>
      </c>
      <c r="K20" s="293"/>
    </row>
    <row r="21" spans="1:11" ht="21.75" customHeight="1" thickBot="1">
      <c r="A21" s="165"/>
      <c r="C21" s="400" t="s">
        <v>265</v>
      </c>
      <c r="D21" s="400"/>
      <c r="E21" s="289">
        <f>E17+E19+E20</f>
        <v>63899274.099999994</v>
      </c>
      <c r="F21" s="290">
        <f>F20+F19+F17</f>
        <v>23.48</v>
      </c>
      <c r="G21" s="340">
        <f>G17+G19+G20</f>
        <v>28852372.299999997</v>
      </c>
      <c r="H21" s="340">
        <f>H17+H19+H20</f>
        <v>13.59</v>
      </c>
      <c r="I21" s="291" t="s">
        <v>266</v>
      </c>
      <c r="J21" s="292"/>
      <c r="K21" s="293"/>
    </row>
    <row r="22" spans="1:11" ht="21.75" customHeight="1" thickBot="1">
      <c r="A22" s="165"/>
      <c r="C22" s="401" t="s">
        <v>177</v>
      </c>
      <c r="D22" s="401"/>
      <c r="E22" s="203">
        <f>E12+E16+E21</f>
        <v>272083888.99999994</v>
      </c>
      <c r="F22" s="276">
        <f>F20+F19+F17+F15+F14+F13+F11+F10+F9+F8+F7+F5</f>
        <v>100</v>
      </c>
      <c r="G22" s="275">
        <f>G12+G16+G21</f>
        <v>212262403.60000002</v>
      </c>
      <c r="H22" s="276">
        <f>H5+H7+H8+H9+H10+H11+H13+H14+H15+H17+H19+H20</f>
        <v>100</v>
      </c>
      <c r="I22" s="402" t="s">
        <v>178</v>
      </c>
      <c r="J22" s="402"/>
      <c r="K22" s="293"/>
    </row>
    <row r="23" spans="1:11" ht="21.75" customHeight="1">
      <c r="A23" s="165"/>
      <c r="C23" s="403" t="s">
        <v>27</v>
      </c>
      <c r="D23" s="403"/>
      <c r="E23" s="211">
        <v>3165015</v>
      </c>
      <c r="F23" s="212"/>
      <c r="G23" s="209">
        <v>1729516.4</v>
      </c>
      <c r="H23" s="212"/>
      <c r="I23" s="404" t="s">
        <v>175</v>
      </c>
      <c r="J23" s="404"/>
      <c r="K23" s="293"/>
    </row>
    <row r="24" spans="1:11" ht="21.75" customHeight="1" thickBot="1">
      <c r="A24" s="169"/>
      <c r="C24" s="396" t="s">
        <v>28</v>
      </c>
      <c r="D24" s="396"/>
      <c r="E24" s="206">
        <f>E22-E23</f>
        <v>268918873.99999994</v>
      </c>
      <c r="F24" s="213"/>
      <c r="G24" s="206">
        <f>G22-G23</f>
        <v>210532887.20000002</v>
      </c>
      <c r="H24" s="213"/>
      <c r="I24" s="397" t="s">
        <v>29</v>
      </c>
      <c r="J24" s="397"/>
      <c r="K24" s="293"/>
    </row>
    <row r="25" spans="1:11" ht="18" customHeight="1" thickTop="1">
      <c r="A25" s="169">
        <v>14</v>
      </c>
      <c r="B25" s="185"/>
      <c r="C25" s="184"/>
      <c r="D25" s="149"/>
      <c r="E25" s="107"/>
      <c r="F25" s="108"/>
      <c r="G25" s="149"/>
      <c r="H25" s="149"/>
      <c r="I25" s="284"/>
      <c r="J25" s="284"/>
    </row>
    <row r="26" spans="1:11" ht="18" customHeight="1">
      <c r="A26" s="165"/>
      <c r="C26" s="175"/>
      <c r="D26" s="175"/>
      <c r="E26" s="176"/>
      <c r="F26" s="176"/>
      <c r="G26" s="176"/>
      <c r="H26" s="176"/>
      <c r="I26" s="283"/>
      <c r="J26" s="283"/>
    </row>
    <row r="27" spans="1:11" ht="15">
      <c r="E27" s="24"/>
    </row>
    <row r="28" spans="1:11" ht="15">
      <c r="E28" s="298"/>
      <c r="F28" s="24"/>
    </row>
    <row r="29" spans="1:11" ht="15">
      <c r="D29" s="2" t="s">
        <v>268</v>
      </c>
      <c r="E29" s="24">
        <v>146939689.09999993</v>
      </c>
      <c r="G29" s="299">
        <v>81615964.600000009</v>
      </c>
    </row>
    <row r="30" spans="1:11" ht="15">
      <c r="D30" s="2" t="s">
        <v>269</v>
      </c>
      <c r="E30" s="24"/>
      <c r="G30" s="300">
        <v>180</v>
      </c>
    </row>
    <row r="31" spans="1:11" ht="15">
      <c r="E31" s="24"/>
    </row>
    <row r="32" spans="1:11" ht="15">
      <c r="E32" s="24"/>
    </row>
    <row r="33" spans="5:6" ht="15">
      <c r="E33" s="24"/>
    </row>
    <row r="34" spans="5:6" ht="15">
      <c r="E34" s="24"/>
    </row>
    <row r="35" spans="5:6" ht="15">
      <c r="E35" s="24"/>
    </row>
    <row r="36" spans="5:6" ht="15">
      <c r="E36" s="24"/>
      <c r="F36" s="31"/>
    </row>
    <row r="37" spans="5:6" ht="15">
      <c r="E37" s="24"/>
      <c r="F37" s="31"/>
    </row>
    <row r="38" spans="5:6">
      <c r="E38" s="31"/>
      <c r="F38" s="31"/>
    </row>
    <row r="39" spans="5:6">
      <c r="F39" s="31"/>
    </row>
    <row r="40" spans="5:6">
      <c r="E40" s="31"/>
      <c r="F40" s="31"/>
    </row>
  </sheetData>
  <mergeCells count="16">
    <mergeCell ref="C24:D24"/>
    <mergeCell ref="I24:J24"/>
    <mergeCell ref="C12:D12"/>
    <mergeCell ref="C16:D16"/>
    <mergeCell ref="C21:D21"/>
    <mergeCell ref="C22:D22"/>
    <mergeCell ref="I22:J22"/>
    <mergeCell ref="C23:D23"/>
    <mergeCell ref="I23:J23"/>
    <mergeCell ref="A1:A8"/>
    <mergeCell ref="C1:J1"/>
    <mergeCell ref="C2:J2"/>
    <mergeCell ref="C3:C4"/>
    <mergeCell ref="D3:D4"/>
    <mergeCell ref="I3:I4"/>
    <mergeCell ref="J3:J4"/>
  </mergeCells>
  <printOptions horizontalCentered="1" verticalCentered="1"/>
  <pageMargins left="0.19685039370078741" right="0.23622047244094491" top="0.31496062992125984" bottom="0.19685039370078741" header="0.19685039370078741" footer="0.19685039370078741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7"/>
  <sheetViews>
    <sheetView rightToLeft="1" view="pageBreakPreview" topLeftCell="A7" zoomScaleSheetLayoutView="100" workbookViewId="0">
      <selection activeCell="A8" sqref="A8"/>
    </sheetView>
  </sheetViews>
  <sheetFormatPr defaultRowHeight="12.75"/>
  <cols>
    <col min="1" max="1" width="4" style="6" customWidth="1"/>
    <col min="2" max="2" width="4.42578125" style="6" customWidth="1"/>
    <col min="3" max="3" width="6.7109375" style="6" customWidth="1"/>
    <col min="4" max="4" width="26.7109375" style="6" customWidth="1"/>
    <col min="5" max="7" width="25.85546875" style="6" customWidth="1"/>
    <col min="8" max="8" width="28.28515625" style="6" customWidth="1"/>
    <col min="9" max="9" width="7" style="6" customWidth="1"/>
    <col min="10" max="10" width="9.140625" style="6"/>
    <col min="11" max="11" width="18.5703125" style="6" customWidth="1"/>
    <col min="12" max="16384" width="9.140625" style="6"/>
  </cols>
  <sheetData>
    <row r="1" spans="1:11" s="30" customFormat="1" ht="24" customHeight="1">
      <c r="A1" s="353" t="s">
        <v>201</v>
      </c>
      <c r="C1" s="381" t="s">
        <v>240</v>
      </c>
      <c r="D1" s="381"/>
      <c r="E1" s="381"/>
      <c r="F1" s="381"/>
      <c r="G1" s="381"/>
      <c r="H1" s="381"/>
      <c r="I1" s="381"/>
    </row>
    <row r="2" spans="1:11" s="30" customFormat="1" ht="39" customHeight="1" thickBot="1">
      <c r="A2" s="353"/>
      <c r="C2" s="382" t="s">
        <v>241</v>
      </c>
      <c r="D2" s="382"/>
      <c r="E2" s="382"/>
      <c r="F2" s="382"/>
      <c r="G2" s="382"/>
      <c r="H2" s="382"/>
      <c r="I2" s="382"/>
    </row>
    <row r="3" spans="1:11" ht="24.95" customHeight="1" thickTop="1">
      <c r="A3" s="353"/>
      <c r="C3" s="362" t="s">
        <v>44</v>
      </c>
      <c r="D3" s="362" t="s">
        <v>45</v>
      </c>
      <c r="E3" s="192" t="s">
        <v>62</v>
      </c>
      <c r="F3" s="192" t="s">
        <v>63</v>
      </c>
      <c r="G3" s="192" t="s">
        <v>64</v>
      </c>
      <c r="H3" s="362" t="s">
        <v>46</v>
      </c>
      <c r="I3" s="362" t="s">
        <v>47</v>
      </c>
    </row>
    <row r="4" spans="1:11" ht="24.95" customHeight="1" thickBot="1">
      <c r="A4" s="353"/>
      <c r="C4" s="363"/>
      <c r="D4" s="363"/>
      <c r="E4" s="193" t="s">
        <v>65</v>
      </c>
      <c r="F4" s="193" t="s">
        <v>66</v>
      </c>
      <c r="G4" s="193" t="s">
        <v>67</v>
      </c>
      <c r="H4" s="363"/>
      <c r="I4" s="363"/>
    </row>
    <row r="5" spans="1:11" ht="30" customHeight="1">
      <c r="A5" s="353"/>
      <c r="C5" s="317">
        <v>1</v>
      </c>
      <c r="D5" s="318" t="s">
        <v>48</v>
      </c>
      <c r="E5" s="309">
        <v>10413007.800000001</v>
      </c>
      <c r="F5" s="309">
        <v>2840742.7</v>
      </c>
      <c r="G5" s="319">
        <f>E5-F5</f>
        <v>7572265.1000000006</v>
      </c>
      <c r="H5" s="10" t="s">
        <v>49</v>
      </c>
      <c r="I5" s="44">
        <v>1</v>
      </c>
    </row>
    <row r="6" spans="1:11" ht="30" customHeight="1">
      <c r="A6" s="353"/>
      <c r="C6" s="124">
        <v>2</v>
      </c>
      <c r="D6" s="12" t="s">
        <v>50</v>
      </c>
      <c r="E6" s="194">
        <f>E7+E8</f>
        <v>125653237.09999999</v>
      </c>
      <c r="F6" s="194">
        <f>F7+F8</f>
        <v>5037018.9000000004</v>
      </c>
      <c r="G6" s="194">
        <f>G7+G8</f>
        <v>120616218.19999999</v>
      </c>
      <c r="H6" s="5" t="s">
        <v>51</v>
      </c>
      <c r="I6" s="39">
        <v>2</v>
      </c>
    </row>
    <row r="7" spans="1:11" ht="30" customHeight="1">
      <c r="A7" s="353"/>
      <c r="C7" s="37" t="s">
        <v>205</v>
      </c>
      <c r="D7" s="12" t="s">
        <v>53</v>
      </c>
      <c r="E7" s="194">
        <v>124956773</v>
      </c>
      <c r="F7" s="194">
        <v>4782450.9000000004</v>
      </c>
      <c r="G7" s="194">
        <f>E7-F7</f>
        <v>120174322.09999999</v>
      </c>
      <c r="H7" s="5" t="s">
        <v>69</v>
      </c>
      <c r="I7" s="39" t="s">
        <v>52</v>
      </c>
    </row>
    <row r="8" spans="1:11" ht="30" customHeight="1">
      <c r="A8" s="353"/>
      <c r="C8" s="37" t="s">
        <v>55</v>
      </c>
      <c r="D8" s="12" t="s">
        <v>279</v>
      </c>
      <c r="E8" s="194">
        <v>696464.1</v>
      </c>
      <c r="F8" s="194">
        <v>254568</v>
      </c>
      <c r="G8" s="194">
        <f>E8-F8</f>
        <v>441896.1</v>
      </c>
      <c r="H8" s="5" t="s">
        <v>56</v>
      </c>
      <c r="I8" s="39" t="s">
        <v>55</v>
      </c>
    </row>
    <row r="9" spans="1:11" s="127" customFormat="1" ht="30" customHeight="1">
      <c r="A9" s="353"/>
      <c r="C9" s="37" t="s">
        <v>57</v>
      </c>
      <c r="D9" s="12" t="s">
        <v>58</v>
      </c>
      <c r="E9" s="194">
        <v>13204043.6</v>
      </c>
      <c r="F9" s="194">
        <v>7739672</v>
      </c>
      <c r="G9" s="194">
        <f>E9-F9</f>
        <v>5464371.5999999996</v>
      </c>
      <c r="H9" s="5" t="s">
        <v>59</v>
      </c>
      <c r="I9" s="36" t="s">
        <v>57</v>
      </c>
    </row>
    <row r="10" spans="1:11" ht="30" customHeight="1">
      <c r="A10" s="160"/>
      <c r="C10" s="320" t="s">
        <v>60</v>
      </c>
      <c r="D10" s="12" t="s">
        <v>61</v>
      </c>
      <c r="E10" s="321">
        <v>11150351.800000001</v>
      </c>
      <c r="F10" s="321">
        <v>4000172.7</v>
      </c>
      <c r="G10" s="321">
        <f>E10-F10</f>
        <v>7150179.1000000006</v>
      </c>
      <c r="H10" s="5" t="s">
        <v>0</v>
      </c>
      <c r="I10" s="39" t="s">
        <v>60</v>
      </c>
      <c r="K10" s="6" t="s">
        <v>267</v>
      </c>
    </row>
    <row r="11" spans="1:11" s="127" customFormat="1" ht="30" customHeight="1">
      <c r="A11" s="170"/>
      <c r="C11" s="37" t="s">
        <v>1</v>
      </c>
      <c r="D11" s="12" t="s">
        <v>2</v>
      </c>
      <c r="E11" s="194">
        <v>21917098.399999999</v>
      </c>
      <c r="F11" s="194">
        <v>9474667.1999999993</v>
      </c>
      <c r="G11" s="194">
        <f t="shared" ref="G11:G19" si="0">E11-F11</f>
        <v>12442431.199999999</v>
      </c>
      <c r="H11" s="5" t="s">
        <v>3</v>
      </c>
      <c r="I11" s="36" t="s">
        <v>1</v>
      </c>
    </row>
    <row r="12" spans="1:11" s="127" customFormat="1" ht="30" customHeight="1">
      <c r="A12" s="170"/>
      <c r="C12" s="37" t="s">
        <v>4</v>
      </c>
      <c r="D12" s="12" t="s">
        <v>286</v>
      </c>
      <c r="E12" s="194">
        <v>42369493.700000003</v>
      </c>
      <c r="F12" s="194">
        <v>16902261.5</v>
      </c>
      <c r="G12" s="194">
        <f>E12-F12</f>
        <v>25467232.200000003</v>
      </c>
      <c r="H12" s="5" t="s">
        <v>5</v>
      </c>
      <c r="I12" s="36" t="s">
        <v>4</v>
      </c>
    </row>
    <row r="13" spans="1:11" s="127" customFormat="1" ht="30" customHeight="1">
      <c r="A13" s="170"/>
      <c r="C13" s="37" t="s">
        <v>6</v>
      </c>
      <c r="D13" s="12" t="s">
        <v>7</v>
      </c>
      <c r="E13" s="194">
        <v>31918619.399999999</v>
      </c>
      <c r="F13" s="194">
        <v>7416579.7000000002</v>
      </c>
      <c r="G13" s="194">
        <f>E13-F13</f>
        <v>24502039.699999999</v>
      </c>
      <c r="H13" s="125" t="s">
        <v>8</v>
      </c>
      <c r="I13" s="36" t="s">
        <v>6</v>
      </c>
    </row>
    <row r="14" spans="1:11" ht="30" customHeight="1">
      <c r="A14" s="160"/>
      <c r="C14" s="322" t="s">
        <v>9</v>
      </c>
      <c r="D14" s="323" t="s">
        <v>10</v>
      </c>
      <c r="E14" s="194">
        <f>E15+E16</f>
        <v>24577912.199999999</v>
      </c>
      <c r="F14" s="194">
        <f>F15+F16</f>
        <v>3292138.5</v>
      </c>
      <c r="G14" s="194">
        <f>G15+G16</f>
        <v>21285773.699999999</v>
      </c>
      <c r="H14" s="46" t="s">
        <v>11</v>
      </c>
      <c r="I14" s="39" t="s">
        <v>9</v>
      </c>
    </row>
    <row r="15" spans="1:11" s="127" customFormat="1" ht="30" customHeight="1">
      <c r="A15" s="170"/>
      <c r="C15" s="37" t="s">
        <v>206</v>
      </c>
      <c r="D15" s="12" t="s">
        <v>13</v>
      </c>
      <c r="E15" s="194">
        <v>5722364.2999999998</v>
      </c>
      <c r="F15" s="194">
        <v>752486.5</v>
      </c>
      <c r="G15" s="194">
        <f t="shared" si="0"/>
        <v>4969877.8</v>
      </c>
      <c r="H15" s="5" t="s">
        <v>14</v>
      </c>
      <c r="I15" s="36" t="s">
        <v>12</v>
      </c>
    </row>
    <row r="16" spans="1:11" ht="30" customHeight="1">
      <c r="A16" s="160"/>
      <c r="C16" s="324" t="s">
        <v>207</v>
      </c>
      <c r="D16" s="12" t="s">
        <v>16</v>
      </c>
      <c r="E16" s="194">
        <v>18855547.899999999</v>
      </c>
      <c r="F16" s="194">
        <v>2539652</v>
      </c>
      <c r="G16" s="194">
        <f t="shared" si="0"/>
        <v>16315895.899999999</v>
      </c>
      <c r="H16" s="5" t="s">
        <v>17</v>
      </c>
      <c r="I16" s="36" t="s">
        <v>15</v>
      </c>
    </row>
    <row r="17" spans="1:11" ht="30" customHeight="1">
      <c r="A17" s="160"/>
      <c r="C17" s="37" t="s">
        <v>18</v>
      </c>
      <c r="D17" s="323" t="s">
        <v>19</v>
      </c>
      <c r="E17" s="194">
        <f>E18+E19</f>
        <v>55623526</v>
      </c>
      <c r="F17" s="194">
        <f>F18+F19</f>
        <v>8040147.7999999998</v>
      </c>
      <c r="G17" s="194">
        <f>E17-F17</f>
        <v>47583378.200000003</v>
      </c>
      <c r="H17" s="5" t="s">
        <v>20</v>
      </c>
      <c r="I17" s="39" t="s">
        <v>18</v>
      </c>
      <c r="K17" s="21"/>
    </row>
    <row r="18" spans="1:11" ht="30" customHeight="1">
      <c r="A18" s="160"/>
      <c r="C18" s="37" t="s">
        <v>208</v>
      </c>
      <c r="D18" s="12" t="s">
        <v>90</v>
      </c>
      <c r="E18" s="194">
        <v>44104692.600000001</v>
      </c>
      <c r="F18" s="194">
        <v>5185020.8</v>
      </c>
      <c r="G18" s="194">
        <f t="shared" si="0"/>
        <v>38919671.800000004</v>
      </c>
      <c r="H18" s="5" t="s">
        <v>89</v>
      </c>
      <c r="I18" s="39" t="s">
        <v>21</v>
      </c>
    </row>
    <row r="19" spans="1:11" ht="30" customHeight="1" thickBot="1">
      <c r="A19" s="160"/>
      <c r="C19" s="325" t="s">
        <v>209</v>
      </c>
      <c r="D19" s="326" t="s">
        <v>23</v>
      </c>
      <c r="E19" s="327">
        <v>11518833.4</v>
      </c>
      <c r="F19" s="327">
        <v>2855127</v>
      </c>
      <c r="G19" s="194">
        <f t="shared" si="0"/>
        <v>8663706.4000000004</v>
      </c>
      <c r="H19" s="13" t="s">
        <v>70</v>
      </c>
      <c r="I19" s="40" t="s">
        <v>22</v>
      </c>
    </row>
    <row r="20" spans="1:11" ht="21.75" customHeight="1" thickBot="1">
      <c r="A20" s="160"/>
      <c r="C20" s="406" t="s">
        <v>25</v>
      </c>
      <c r="D20" s="406"/>
      <c r="E20" s="207">
        <f>E5+E7+E8+E9+E10+E11+E12+E13+E15+E16+E18+E19</f>
        <v>336827290.00000006</v>
      </c>
      <c r="F20" s="207">
        <f>F5+F7+F8+F9+F10+F11+F12+F13+F15+F16+F18+F19</f>
        <v>64743401</v>
      </c>
      <c r="G20" s="207">
        <f>G5+G7+G8+G9+G10+G11+G12+G13+G15+G16+G18+G19</f>
        <v>272083889</v>
      </c>
      <c r="H20" s="402" t="s">
        <v>178</v>
      </c>
      <c r="I20" s="402"/>
    </row>
    <row r="21" spans="1:11" ht="21.75" customHeight="1">
      <c r="A21" s="160"/>
      <c r="C21" s="407" t="s">
        <v>71</v>
      </c>
      <c r="D21" s="407"/>
      <c r="E21" s="208"/>
      <c r="F21" s="205">
        <v>3165015</v>
      </c>
      <c r="G21" s="205">
        <v>3165015</v>
      </c>
      <c r="H21" s="404" t="s">
        <v>72</v>
      </c>
      <c r="I21" s="404"/>
    </row>
    <row r="22" spans="1:11" ht="21.75" customHeight="1" thickBot="1">
      <c r="A22" s="160"/>
      <c r="C22" s="396" t="s">
        <v>73</v>
      </c>
      <c r="D22" s="396"/>
      <c r="E22" s="206">
        <f>E20</f>
        <v>336827290.00000006</v>
      </c>
      <c r="F22" s="206">
        <f>F20+F21</f>
        <v>67908416</v>
      </c>
      <c r="G22" s="206">
        <f>G20-F21</f>
        <v>268918874</v>
      </c>
      <c r="H22" s="397" t="s">
        <v>29</v>
      </c>
      <c r="I22" s="397"/>
    </row>
    <row r="23" spans="1:11" ht="6.75" customHeight="1" thickTop="1">
      <c r="A23" s="160"/>
      <c r="C23" s="17"/>
      <c r="D23" s="17"/>
      <c r="E23" s="17"/>
      <c r="F23" s="17"/>
      <c r="G23" s="27"/>
    </row>
    <row r="24" spans="1:11" ht="17.25">
      <c r="A24" s="161">
        <v>15</v>
      </c>
      <c r="C24" s="7"/>
      <c r="E24" s="21"/>
      <c r="F24" s="92"/>
      <c r="G24" s="21"/>
    </row>
    <row r="25" spans="1:11">
      <c r="C25" s="7"/>
      <c r="E25" s="21"/>
      <c r="F25" s="21"/>
      <c r="G25" s="21"/>
    </row>
    <row r="26" spans="1:11">
      <c r="C26" s="7"/>
      <c r="E26" s="21"/>
      <c r="F26" s="21"/>
      <c r="G26" s="21"/>
    </row>
    <row r="27" spans="1:11">
      <c r="C27" s="7"/>
      <c r="E27" s="21"/>
      <c r="F27" s="21"/>
      <c r="G27" s="21"/>
    </row>
    <row r="28" spans="1:11">
      <c r="G28" s="21"/>
    </row>
    <row r="29" spans="1:11">
      <c r="G29" s="21"/>
    </row>
    <row r="34" spans="4:7">
      <c r="F34" s="22"/>
      <c r="G34" s="22"/>
    </row>
    <row r="35" spans="4:7" ht="15">
      <c r="D35" s="23"/>
      <c r="E35" s="4"/>
      <c r="F35" s="24"/>
      <c r="G35" s="19"/>
    </row>
    <row r="36" spans="4:7">
      <c r="D36" s="23"/>
      <c r="E36" s="261"/>
      <c r="F36" s="261"/>
      <c r="G36" s="261"/>
    </row>
    <row r="37" spans="4:7" ht="15">
      <c r="D37" s="3"/>
      <c r="E37" s="4"/>
      <c r="F37" s="20"/>
      <c r="G37" s="19"/>
    </row>
    <row r="38" spans="4:7" ht="15">
      <c r="D38" s="3"/>
      <c r="E38" s="4"/>
      <c r="F38" s="20"/>
      <c r="G38" s="19"/>
    </row>
    <row r="39" spans="4:7" ht="15">
      <c r="D39" s="3"/>
      <c r="E39" s="4"/>
      <c r="F39" s="20"/>
      <c r="G39" s="19"/>
    </row>
    <row r="40" spans="4:7" ht="15">
      <c r="D40" s="3"/>
      <c r="E40" s="4"/>
      <c r="F40" s="20"/>
      <c r="G40" s="19"/>
    </row>
    <row r="41" spans="4:7" ht="15">
      <c r="D41" s="3"/>
      <c r="E41" s="4"/>
      <c r="F41" s="20"/>
      <c r="G41" s="19"/>
    </row>
    <row r="42" spans="4:7" ht="15">
      <c r="D42" s="3"/>
      <c r="E42" s="4"/>
      <c r="F42" s="20"/>
      <c r="G42" s="19"/>
    </row>
    <row r="43" spans="4:7" ht="15">
      <c r="D43" s="3"/>
      <c r="E43" s="4"/>
      <c r="F43" s="20"/>
      <c r="G43" s="19"/>
    </row>
    <row r="44" spans="4:7" ht="15">
      <c r="D44" s="3"/>
      <c r="E44" s="4"/>
      <c r="F44" s="20"/>
      <c r="G44" s="19"/>
    </row>
    <row r="45" spans="4:7" ht="15">
      <c r="D45" s="3"/>
      <c r="E45" s="4"/>
      <c r="F45" s="20"/>
      <c r="G45" s="19"/>
    </row>
    <row r="46" spans="4:7" ht="15">
      <c r="D46" s="3"/>
      <c r="E46" s="4"/>
      <c r="F46" s="20"/>
      <c r="G46" s="19"/>
    </row>
    <row r="47" spans="4:7" ht="15">
      <c r="D47" s="3"/>
      <c r="E47" s="4"/>
      <c r="F47" s="20"/>
      <c r="G47" s="19"/>
    </row>
    <row r="48" spans="4:7" ht="15">
      <c r="D48" s="3"/>
      <c r="E48" s="4"/>
      <c r="F48" s="20"/>
      <c r="G48" s="19"/>
    </row>
    <row r="49" spans="4:7" ht="15">
      <c r="D49" s="3"/>
      <c r="E49" s="4"/>
      <c r="F49" s="20"/>
      <c r="G49" s="19"/>
    </row>
    <row r="50" spans="4:7" ht="15">
      <c r="D50" s="405"/>
      <c r="E50" s="405"/>
      <c r="F50" s="20"/>
      <c r="G50" s="20"/>
    </row>
    <row r="51" spans="4:7" ht="15">
      <c r="D51" s="405"/>
      <c r="E51" s="405"/>
      <c r="F51" s="20"/>
      <c r="G51" s="20"/>
    </row>
    <row r="52" spans="4:7" ht="15">
      <c r="D52" s="405"/>
      <c r="E52" s="405"/>
      <c r="F52" s="20"/>
      <c r="G52" s="20"/>
    </row>
    <row r="55" spans="4:7">
      <c r="F55" s="21"/>
      <c r="G55" s="21"/>
    </row>
    <row r="56" spans="4:7">
      <c r="G56" s="7"/>
    </row>
    <row r="57" spans="4:7">
      <c r="G57" s="7"/>
    </row>
  </sheetData>
  <mergeCells count="16">
    <mergeCell ref="A1:A9"/>
    <mergeCell ref="C3:C4"/>
    <mergeCell ref="D3:D4"/>
    <mergeCell ref="D51:E51"/>
    <mergeCell ref="D52:E52"/>
    <mergeCell ref="C22:D22"/>
    <mergeCell ref="C20:D20"/>
    <mergeCell ref="C21:D21"/>
    <mergeCell ref="D50:E50"/>
    <mergeCell ref="H22:I22"/>
    <mergeCell ref="C1:I1"/>
    <mergeCell ref="C2:I2"/>
    <mergeCell ref="H21:I21"/>
    <mergeCell ref="H3:H4"/>
    <mergeCell ref="I3:I4"/>
    <mergeCell ref="H20:I20"/>
  </mergeCells>
  <phoneticPr fontId="2" type="noConversion"/>
  <printOptions horizontalCentered="1" verticalCentered="1"/>
  <pageMargins left="0.196850393700787" right="0.196850393700787" top="0.39" bottom="0.33" header="0.23" footer="0.25"/>
  <pageSetup paperSize="9" scale="8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59"/>
  <sheetViews>
    <sheetView rightToLeft="1" view="pageBreakPreview" topLeftCell="A16" zoomScale="80" zoomScaleSheetLayoutView="80" workbookViewId="0">
      <selection activeCell="A8" sqref="A8"/>
    </sheetView>
  </sheetViews>
  <sheetFormatPr defaultRowHeight="12.75"/>
  <cols>
    <col min="1" max="1" width="5.7109375" style="6" customWidth="1"/>
    <col min="2" max="2" width="3.42578125" style="6" customWidth="1"/>
    <col min="3" max="3" width="6.7109375" style="6" customWidth="1"/>
    <col min="4" max="7" width="26" style="6" customWidth="1"/>
    <col min="8" max="8" width="38.7109375" style="6" customWidth="1"/>
    <col min="9" max="9" width="6.7109375" style="6" customWidth="1"/>
    <col min="10" max="10" width="9.5703125" style="6" bestFit="1" customWidth="1"/>
    <col min="11" max="16384" width="9.140625" style="6"/>
  </cols>
  <sheetData>
    <row r="1" spans="1:12" s="89" customFormat="1" ht="24" customHeight="1">
      <c r="A1" s="353" t="s">
        <v>201</v>
      </c>
      <c r="C1" s="351" t="s">
        <v>238</v>
      </c>
      <c r="D1" s="411"/>
      <c r="E1" s="411"/>
      <c r="F1" s="411"/>
      <c r="G1" s="411"/>
      <c r="H1" s="411"/>
      <c r="I1" s="411"/>
    </row>
    <row r="2" spans="1:12" s="89" customFormat="1" ht="39" customHeight="1" thickBot="1">
      <c r="A2" s="353"/>
      <c r="C2" s="352" t="s">
        <v>239</v>
      </c>
      <c r="D2" s="361"/>
      <c r="E2" s="361"/>
      <c r="F2" s="361"/>
      <c r="G2" s="361"/>
      <c r="H2" s="361"/>
      <c r="I2" s="361"/>
    </row>
    <row r="3" spans="1:12" ht="24.95" customHeight="1" thickTop="1">
      <c r="A3" s="353"/>
      <c r="C3" s="362" t="s">
        <v>44</v>
      </c>
      <c r="D3" s="362" t="s">
        <v>45</v>
      </c>
      <c r="E3" s="192" t="s">
        <v>33</v>
      </c>
      <c r="F3" s="192" t="s">
        <v>35</v>
      </c>
      <c r="G3" s="192" t="s">
        <v>64</v>
      </c>
      <c r="H3" s="362" t="s">
        <v>46</v>
      </c>
      <c r="I3" s="362" t="s">
        <v>47</v>
      </c>
    </row>
    <row r="4" spans="1:12" ht="24.95" customHeight="1" thickBot="1">
      <c r="A4" s="353"/>
      <c r="C4" s="363"/>
      <c r="D4" s="363"/>
      <c r="E4" s="193" t="s">
        <v>32</v>
      </c>
      <c r="F4" s="193" t="s">
        <v>68</v>
      </c>
      <c r="G4" s="193" t="s">
        <v>67</v>
      </c>
      <c r="H4" s="363"/>
      <c r="I4" s="363"/>
    </row>
    <row r="5" spans="1:12" ht="28.5" customHeight="1">
      <c r="A5" s="353"/>
      <c r="C5" s="9">
        <v>1</v>
      </c>
      <c r="D5" s="308" t="s">
        <v>48</v>
      </c>
      <c r="E5" s="309">
        <v>2613406.2000000002</v>
      </c>
      <c r="F5" s="309">
        <f>'10'!G5-'11'!E5</f>
        <v>4958858.9000000004</v>
      </c>
      <c r="G5" s="319">
        <f>E5+F5</f>
        <v>7572265.1000000006</v>
      </c>
      <c r="H5" s="10" t="s">
        <v>49</v>
      </c>
      <c r="I5" s="44">
        <v>1</v>
      </c>
      <c r="J5" s="33"/>
      <c r="K5" s="6">
        <f>(E5/70604373)*100</f>
        <v>3.701479227072805</v>
      </c>
      <c r="L5" s="6">
        <f>(E5/G5)*100</f>
        <v>34.512872508914143</v>
      </c>
    </row>
    <row r="6" spans="1:12" ht="28.5" customHeight="1">
      <c r="A6" s="353"/>
      <c r="C6" s="11">
        <v>2</v>
      </c>
      <c r="D6" s="12" t="s">
        <v>50</v>
      </c>
      <c r="E6" s="194">
        <f>E7+E8</f>
        <v>2973752.1</v>
      </c>
      <c r="F6" s="194">
        <f>F7+F8</f>
        <v>117642466.10000001</v>
      </c>
      <c r="G6" s="194">
        <f>G7+G8</f>
        <v>120616218.2</v>
      </c>
      <c r="H6" s="5" t="s">
        <v>51</v>
      </c>
      <c r="I6" s="39">
        <v>2</v>
      </c>
      <c r="J6" s="33"/>
      <c r="K6" s="6">
        <f t="shared" ref="K6:K22" si="0">(E6/70604373)*100</f>
        <v>4.211852571794668</v>
      </c>
      <c r="L6" s="6">
        <f t="shared" ref="L6:L22" si="1">(E6/G6)*100</f>
        <v>2.4654662070975131</v>
      </c>
    </row>
    <row r="7" spans="1:12" ht="28.5" customHeight="1">
      <c r="A7" s="353"/>
      <c r="C7" s="37" t="s">
        <v>205</v>
      </c>
      <c r="D7" s="12" t="s">
        <v>53</v>
      </c>
      <c r="E7" s="194">
        <v>2862898.4</v>
      </c>
      <c r="F7" s="194">
        <v>117311423.7</v>
      </c>
      <c r="G7" s="194">
        <f>E7+F7</f>
        <v>120174322.10000001</v>
      </c>
      <c r="H7" s="5" t="s">
        <v>69</v>
      </c>
      <c r="I7" s="39" t="s">
        <v>52</v>
      </c>
      <c r="J7" s="33"/>
      <c r="K7" s="6">
        <f t="shared" si="0"/>
        <v>4.05484572464088</v>
      </c>
      <c r="L7" s="6">
        <f t="shared" si="1"/>
        <v>2.38228795467447</v>
      </c>
    </row>
    <row r="8" spans="1:12" ht="28.5" customHeight="1">
      <c r="A8" s="353"/>
      <c r="C8" s="37" t="s">
        <v>55</v>
      </c>
      <c r="D8" s="12" t="s">
        <v>279</v>
      </c>
      <c r="E8" s="194">
        <v>110853.7</v>
      </c>
      <c r="F8" s="194">
        <v>331042.40000000002</v>
      </c>
      <c r="G8" s="194">
        <f t="shared" ref="G8:G19" si="2">E8+F8</f>
        <v>441896.10000000003</v>
      </c>
      <c r="H8" s="5" t="s">
        <v>56</v>
      </c>
      <c r="I8" s="39" t="s">
        <v>55</v>
      </c>
      <c r="J8" s="33"/>
      <c r="K8" s="6">
        <f t="shared" si="0"/>
        <v>0.15700684715378749</v>
      </c>
      <c r="L8" s="6">
        <f t="shared" si="1"/>
        <v>25.085919518185378</v>
      </c>
    </row>
    <row r="9" spans="1:12" s="127" customFormat="1" ht="28.5" customHeight="1">
      <c r="A9" s="353"/>
      <c r="C9" s="37" t="s">
        <v>57</v>
      </c>
      <c r="D9" s="12" t="s">
        <v>58</v>
      </c>
      <c r="E9" s="194">
        <v>1860486.4</v>
      </c>
      <c r="F9" s="194">
        <f>'10'!G9-'11'!E9</f>
        <v>3603885.1999999997</v>
      </c>
      <c r="G9" s="194">
        <f t="shared" si="2"/>
        <v>5464371.5999999996</v>
      </c>
      <c r="H9" s="5" t="s">
        <v>59</v>
      </c>
      <c r="I9" s="36" t="s">
        <v>57</v>
      </c>
      <c r="J9" s="33"/>
      <c r="K9" s="6">
        <f t="shared" si="0"/>
        <v>2.6350866397468042</v>
      </c>
      <c r="L9" s="6">
        <f t="shared" si="1"/>
        <v>34.047581976306297</v>
      </c>
    </row>
    <row r="10" spans="1:12" ht="28.5" customHeight="1">
      <c r="A10" s="353"/>
      <c r="C10" s="37" t="s">
        <v>60</v>
      </c>
      <c r="D10" s="12" t="s">
        <v>61</v>
      </c>
      <c r="E10" s="194">
        <v>1691693.8</v>
      </c>
      <c r="F10" s="194">
        <f>'10'!G10-'11'!E10</f>
        <v>5458485.3000000007</v>
      </c>
      <c r="G10" s="194">
        <f>E10+F10</f>
        <v>7150179.1000000006</v>
      </c>
      <c r="H10" s="5" t="s">
        <v>0</v>
      </c>
      <c r="I10" s="39" t="s">
        <v>60</v>
      </c>
      <c r="J10" s="33"/>
      <c r="K10" s="6">
        <f t="shared" si="0"/>
        <v>2.396018444919835</v>
      </c>
      <c r="L10" s="6">
        <f t="shared" si="1"/>
        <v>23.65946050218518</v>
      </c>
    </row>
    <row r="11" spans="1:12" s="127" customFormat="1" ht="28.5" customHeight="1">
      <c r="A11" s="170"/>
      <c r="C11" s="37" t="s">
        <v>1</v>
      </c>
      <c r="D11" s="12" t="s">
        <v>2</v>
      </c>
      <c r="E11" s="194">
        <v>2842400.2</v>
      </c>
      <c r="F11" s="194">
        <f>'10'!G11-'11'!E11</f>
        <v>9600031</v>
      </c>
      <c r="G11" s="194">
        <f t="shared" si="2"/>
        <v>12442431.199999999</v>
      </c>
      <c r="H11" s="5" t="s">
        <v>3</v>
      </c>
      <c r="I11" s="36" t="s">
        <v>1</v>
      </c>
      <c r="J11" s="33"/>
      <c r="K11" s="6">
        <f t="shared" si="0"/>
        <v>4.0258132453070576</v>
      </c>
      <c r="L11" s="6">
        <f t="shared" si="1"/>
        <v>22.844411629135632</v>
      </c>
    </row>
    <row r="12" spans="1:12" s="127" customFormat="1" ht="28.5" customHeight="1">
      <c r="A12" s="170"/>
      <c r="C12" s="37" t="s">
        <v>4</v>
      </c>
      <c r="D12" s="12" t="s">
        <v>286</v>
      </c>
      <c r="E12" s="194">
        <v>14441125</v>
      </c>
      <c r="F12" s="194">
        <f>'10'!G12-'11'!E12</f>
        <v>11026107.200000003</v>
      </c>
      <c r="G12" s="194">
        <f t="shared" si="2"/>
        <v>25467232.200000003</v>
      </c>
      <c r="H12" s="5" t="s">
        <v>5</v>
      </c>
      <c r="I12" s="36" t="s">
        <v>4</v>
      </c>
      <c r="J12" s="33"/>
      <c r="K12" s="6">
        <f t="shared" si="0"/>
        <v>20.45358436934211</v>
      </c>
      <c r="L12" s="6">
        <f t="shared" si="1"/>
        <v>56.704728988963303</v>
      </c>
    </row>
    <row r="13" spans="1:12" s="127" customFormat="1" ht="28.5" customHeight="1">
      <c r="A13" s="170"/>
      <c r="C13" s="37" t="s">
        <v>6</v>
      </c>
      <c r="D13" s="12" t="s">
        <v>7</v>
      </c>
      <c r="E13" s="194">
        <v>3402466.8</v>
      </c>
      <c r="F13" s="194">
        <v>21099572.899999999</v>
      </c>
      <c r="G13" s="194">
        <f t="shared" si="2"/>
        <v>24502039.699999999</v>
      </c>
      <c r="H13" s="125" t="s">
        <v>8</v>
      </c>
      <c r="I13" s="36" t="s">
        <v>6</v>
      </c>
      <c r="J13" s="33"/>
      <c r="K13" s="6">
        <f t="shared" si="0"/>
        <v>4.8190595786467778</v>
      </c>
      <c r="L13" s="6">
        <f t="shared" si="1"/>
        <v>13.886463501240673</v>
      </c>
    </row>
    <row r="14" spans="1:12" ht="28.5" customHeight="1">
      <c r="A14" s="160"/>
      <c r="C14" s="37" t="s">
        <v>9</v>
      </c>
      <c r="D14" s="12" t="s">
        <v>10</v>
      </c>
      <c r="E14" s="194">
        <f>E15+E16</f>
        <v>589062.19999999995</v>
      </c>
      <c r="F14" s="194">
        <f>F15+F16</f>
        <v>20696711.5</v>
      </c>
      <c r="G14" s="194">
        <f>E14+F14</f>
        <v>21285773.699999999</v>
      </c>
      <c r="H14" s="46" t="s">
        <v>11</v>
      </c>
      <c r="I14" s="39" t="s">
        <v>9</v>
      </c>
      <c r="J14" s="33"/>
      <c r="K14" s="6">
        <f t="shared" si="0"/>
        <v>0.83431404454225522</v>
      </c>
      <c r="L14" s="6">
        <f t="shared" si="1"/>
        <v>2.7673985841538848</v>
      </c>
    </row>
    <row r="15" spans="1:12" s="127" customFormat="1" ht="28.5" customHeight="1">
      <c r="A15" s="170"/>
      <c r="C15" s="37" t="s">
        <v>206</v>
      </c>
      <c r="D15" s="12" t="s">
        <v>13</v>
      </c>
      <c r="E15" s="194">
        <v>585797.19999999995</v>
      </c>
      <c r="F15" s="194">
        <f>'10'!G15-'11'!E15</f>
        <v>4384080.5999999996</v>
      </c>
      <c r="G15" s="194">
        <f t="shared" si="2"/>
        <v>4969877.8</v>
      </c>
      <c r="H15" s="5" t="s">
        <v>14</v>
      </c>
      <c r="I15" s="36" t="s">
        <v>12</v>
      </c>
      <c r="J15" s="33"/>
      <c r="K15" s="6">
        <f t="shared" si="0"/>
        <v>0.82968968508508667</v>
      </c>
      <c r="L15" s="6">
        <f t="shared" si="1"/>
        <v>11.78695379592633</v>
      </c>
    </row>
    <row r="16" spans="1:12" ht="28.5" customHeight="1">
      <c r="A16" s="160"/>
      <c r="C16" s="37" t="s">
        <v>207</v>
      </c>
      <c r="D16" s="12" t="s">
        <v>16</v>
      </c>
      <c r="E16" s="194">
        <v>3265</v>
      </c>
      <c r="F16" s="194">
        <f>'10'!G16-'11'!E16</f>
        <v>16312630.899999999</v>
      </c>
      <c r="G16" s="194">
        <f>E16+F16</f>
        <v>16315895.899999999</v>
      </c>
      <c r="H16" s="5" t="s">
        <v>17</v>
      </c>
      <c r="I16" s="39" t="s">
        <v>15</v>
      </c>
      <c r="J16" s="33"/>
      <c r="K16" s="6">
        <f t="shared" si="0"/>
        <v>4.6243594571684678E-3</v>
      </c>
      <c r="L16" s="6">
        <f t="shared" si="1"/>
        <v>2.001115979172189E-2</v>
      </c>
    </row>
    <row r="17" spans="1:13" ht="28.5" customHeight="1">
      <c r="A17" s="160"/>
      <c r="C17" s="37" t="s">
        <v>18</v>
      </c>
      <c r="D17" s="12" t="s">
        <v>19</v>
      </c>
      <c r="E17" s="194">
        <f>E18+E19</f>
        <v>40189980.299999997</v>
      </c>
      <c r="F17" s="194">
        <f>F18+F19</f>
        <v>7393397.9000000004</v>
      </c>
      <c r="G17" s="194">
        <f>E17+F17</f>
        <v>47583378.199999996</v>
      </c>
      <c r="H17" s="5" t="s">
        <v>20</v>
      </c>
      <c r="I17" s="39" t="s">
        <v>18</v>
      </c>
      <c r="J17" s="33"/>
      <c r="K17" s="6">
        <f t="shared" si="0"/>
        <v>56.922791878627685</v>
      </c>
      <c r="L17" s="6">
        <f t="shared" si="1"/>
        <v>84.462225718980164</v>
      </c>
    </row>
    <row r="18" spans="1:13" ht="28.5" customHeight="1">
      <c r="A18" s="160"/>
      <c r="C18" s="37" t="s">
        <v>208</v>
      </c>
      <c r="D18" s="12" t="s">
        <v>90</v>
      </c>
      <c r="E18" s="194">
        <v>37522040.399999999</v>
      </c>
      <c r="F18" s="194">
        <v>1397631.4</v>
      </c>
      <c r="G18" s="194">
        <f>E18+F18</f>
        <v>38919671.799999997</v>
      </c>
      <c r="H18" s="5" t="s">
        <v>89</v>
      </c>
      <c r="I18" s="39" t="s">
        <v>21</v>
      </c>
      <c r="J18" s="33"/>
      <c r="K18" s="6">
        <f t="shared" si="0"/>
        <v>53.144074234608659</v>
      </c>
      <c r="L18" s="6">
        <f t="shared" si="1"/>
        <v>96.408933232576757</v>
      </c>
      <c r="M18" s="6">
        <f>(E18/G18)*100</f>
        <v>96.408933232576757</v>
      </c>
    </row>
    <row r="19" spans="1:13" ht="28.5" customHeight="1" thickBot="1">
      <c r="A19" s="160"/>
      <c r="C19" s="325" t="s">
        <v>209</v>
      </c>
      <c r="D19" s="328" t="s">
        <v>23</v>
      </c>
      <c r="E19" s="329">
        <v>2667939.9</v>
      </c>
      <c r="F19" s="329">
        <f>'10'!G19-'11'!E19</f>
        <v>5995766.5</v>
      </c>
      <c r="G19" s="194">
        <f t="shared" si="2"/>
        <v>8663706.4000000004</v>
      </c>
      <c r="H19" s="13" t="s">
        <v>70</v>
      </c>
      <c r="I19" s="40" t="s">
        <v>22</v>
      </c>
      <c r="J19" s="33"/>
      <c r="K19" s="6">
        <f t="shared" si="0"/>
        <v>3.778717644019018</v>
      </c>
      <c r="L19" s="6">
        <f t="shared" si="1"/>
        <v>30.794440356381418</v>
      </c>
    </row>
    <row r="20" spans="1:13" ht="27.75" customHeight="1" thickBot="1">
      <c r="A20" s="160"/>
      <c r="C20" s="401" t="s">
        <v>25</v>
      </c>
      <c r="D20" s="401"/>
      <c r="E20" s="203">
        <f>E5+E7+E8+E9+E10+E11+E12+E13+E15+E16+E18+E19</f>
        <v>70604373</v>
      </c>
      <c r="F20" s="203">
        <f>F5+F7+F8+F9+F10+F11+F12+F13+F15+F16+F18+F19</f>
        <v>201479516</v>
      </c>
      <c r="G20" s="203">
        <f>G5+G7+G8+G9+G10+G11+G12+G13+G15+G16+G18+G19</f>
        <v>272083888.99999994</v>
      </c>
      <c r="H20" s="410" t="s">
        <v>26</v>
      </c>
      <c r="I20" s="410"/>
      <c r="J20" s="33"/>
      <c r="K20" s="6">
        <f t="shared" si="0"/>
        <v>100</v>
      </c>
      <c r="L20" s="6">
        <f t="shared" si="1"/>
        <v>25.949486851093933</v>
      </c>
    </row>
    <row r="21" spans="1:13" ht="27.75" customHeight="1">
      <c r="A21" s="160"/>
      <c r="C21" s="403" t="s">
        <v>93</v>
      </c>
      <c r="D21" s="403"/>
      <c r="E21" s="204"/>
      <c r="F21" s="205">
        <v>3165015</v>
      </c>
      <c r="G21" s="205">
        <v>3165015</v>
      </c>
      <c r="H21" s="404" t="s">
        <v>174</v>
      </c>
      <c r="I21" s="404"/>
      <c r="K21" s="6">
        <f t="shared" si="0"/>
        <v>0</v>
      </c>
      <c r="L21" s="6">
        <f t="shared" si="1"/>
        <v>0</v>
      </c>
    </row>
    <row r="22" spans="1:13" ht="27.75" customHeight="1" thickBot="1">
      <c r="A22" s="160"/>
      <c r="C22" s="396" t="s">
        <v>73</v>
      </c>
      <c r="D22" s="396"/>
      <c r="E22" s="206">
        <f>E20</f>
        <v>70604373</v>
      </c>
      <c r="F22" s="206">
        <f>F20-F21</f>
        <v>198314501</v>
      </c>
      <c r="G22" s="205">
        <f>G20-G21</f>
        <v>268918873.99999994</v>
      </c>
      <c r="H22" s="409" t="s">
        <v>74</v>
      </c>
      <c r="I22" s="409"/>
      <c r="K22" s="6">
        <f t="shared" si="0"/>
        <v>100</v>
      </c>
      <c r="L22" s="6">
        <f t="shared" si="1"/>
        <v>26.254896857853126</v>
      </c>
    </row>
    <row r="23" spans="1:13" ht="13.5" thickTop="1">
      <c r="A23" s="160"/>
      <c r="C23" s="17"/>
      <c r="D23" s="17"/>
      <c r="E23" s="28"/>
      <c r="F23" s="28"/>
      <c r="G23" s="28"/>
      <c r="H23" s="17"/>
      <c r="I23" s="17"/>
    </row>
    <row r="24" spans="1:13" ht="17.25">
      <c r="A24" s="161">
        <v>16</v>
      </c>
      <c r="C24" s="7"/>
      <c r="E24" s="103"/>
      <c r="F24" s="58"/>
      <c r="G24" s="145"/>
    </row>
    <row r="25" spans="1:13">
      <c r="A25" s="160"/>
      <c r="C25" s="7"/>
      <c r="E25" s="58"/>
      <c r="F25" s="58"/>
      <c r="G25" s="145"/>
    </row>
    <row r="26" spans="1:13" ht="15">
      <c r="A26" s="160"/>
      <c r="C26" s="7"/>
      <c r="E26" s="67"/>
      <c r="F26" s="58">
        <f>F22/G22*100</f>
        <v>73.745103142146888</v>
      </c>
      <c r="G26" s="24"/>
    </row>
    <row r="27" spans="1:13">
      <c r="A27" s="160"/>
      <c r="C27" s="7"/>
      <c r="E27" s="21"/>
      <c r="F27" s="21"/>
      <c r="G27" s="33"/>
    </row>
    <row r="28" spans="1:13">
      <c r="A28" s="160"/>
      <c r="E28" s="33"/>
      <c r="F28" s="33"/>
      <c r="G28" s="33"/>
    </row>
    <row r="29" spans="1:13">
      <c r="A29" s="160"/>
      <c r="E29" s="33"/>
    </row>
    <row r="30" spans="1:13">
      <c r="A30" s="160"/>
      <c r="E30" s="21"/>
      <c r="F30" s="21"/>
    </row>
    <row r="31" spans="1:13">
      <c r="A31" s="160"/>
      <c r="G31" s="21"/>
    </row>
    <row r="36" spans="4:9">
      <c r="F36" s="21"/>
    </row>
    <row r="39" spans="4:9">
      <c r="F39" s="21"/>
    </row>
    <row r="48" spans="4:9" ht="21.75" customHeight="1">
      <c r="D48" s="25"/>
      <c r="E48" s="25"/>
      <c r="F48" s="25"/>
      <c r="G48" s="25"/>
      <c r="H48" s="25"/>
      <c r="I48" s="25"/>
    </row>
    <row r="49" spans="4:9" ht="15.75">
      <c r="D49" s="26"/>
      <c r="E49" s="26"/>
      <c r="F49" s="26"/>
      <c r="G49" s="26"/>
      <c r="H49" s="26"/>
      <c r="I49" s="26"/>
    </row>
    <row r="59" spans="4:9">
      <c r="D59" s="408">
        <v>11</v>
      </c>
      <c r="E59" s="408"/>
      <c r="F59" s="408"/>
      <c r="G59" s="408"/>
      <c r="H59" s="408"/>
      <c r="I59" s="408"/>
    </row>
  </sheetData>
  <mergeCells count="14">
    <mergeCell ref="A1:A10"/>
    <mergeCell ref="D59:I59"/>
    <mergeCell ref="H22:I22"/>
    <mergeCell ref="H20:I20"/>
    <mergeCell ref="C22:D22"/>
    <mergeCell ref="C20:D20"/>
    <mergeCell ref="C21:D21"/>
    <mergeCell ref="H21:I21"/>
    <mergeCell ref="H3:H4"/>
    <mergeCell ref="I3:I4"/>
    <mergeCell ref="C1:I1"/>
    <mergeCell ref="C2:I2"/>
    <mergeCell ref="C3:C4"/>
    <mergeCell ref="D3:D4"/>
  </mergeCells>
  <phoneticPr fontId="2" type="noConversion"/>
  <printOptions horizontalCentered="1" verticalCentered="1"/>
  <pageMargins left="0.196850393700787" right="0.28000000000000003" top="0.42" bottom="0.36" header="0.25" footer="0.2"/>
  <pageSetup paperSize="9" scale="8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8"/>
  <sheetViews>
    <sheetView rightToLeft="1" view="pageBreakPreview" topLeftCell="A4" zoomScale="80" zoomScaleSheetLayoutView="80" workbookViewId="0">
      <selection activeCell="A8" sqref="A8"/>
    </sheetView>
  </sheetViews>
  <sheetFormatPr defaultRowHeight="12.75"/>
  <cols>
    <col min="1" max="1" width="6.7109375" style="6" customWidth="1"/>
    <col min="2" max="2" width="4" style="6" customWidth="1"/>
    <col min="3" max="3" width="6.7109375" style="6" customWidth="1"/>
    <col min="4" max="4" width="26.85546875" style="6" customWidth="1"/>
    <col min="5" max="7" width="24.7109375" style="6" customWidth="1"/>
    <col min="8" max="8" width="37" style="6" customWidth="1"/>
    <col min="9" max="9" width="6.7109375" style="6" customWidth="1"/>
    <col min="10" max="10" width="9.5703125" style="6" bestFit="1" customWidth="1"/>
    <col min="11" max="16384" width="9.140625" style="6"/>
  </cols>
  <sheetData>
    <row r="1" spans="1:11" s="30" customFormat="1" ht="24" customHeight="1">
      <c r="A1" s="353" t="s">
        <v>201</v>
      </c>
      <c r="C1" s="381" t="s">
        <v>236</v>
      </c>
      <c r="D1" s="381"/>
      <c r="E1" s="381"/>
      <c r="F1" s="381"/>
      <c r="G1" s="381"/>
      <c r="H1" s="381"/>
      <c r="I1" s="381"/>
    </row>
    <row r="2" spans="1:11" s="30" customFormat="1" ht="39" customHeight="1" thickBot="1">
      <c r="A2" s="353"/>
      <c r="C2" s="382" t="s">
        <v>237</v>
      </c>
      <c r="D2" s="382"/>
      <c r="E2" s="382"/>
      <c r="F2" s="382"/>
      <c r="G2" s="382"/>
      <c r="H2" s="382"/>
      <c r="I2" s="382"/>
    </row>
    <row r="3" spans="1:11" ht="24.95" customHeight="1" thickTop="1">
      <c r="A3" s="353"/>
      <c r="C3" s="362" t="s">
        <v>44</v>
      </c>
      <c r="D3" s="362" t="s">
        <v>45</v>
      </c>
      <c r="E3" s="192" t="s">
        <v>84</v>
      </c>
      <c r="F3" s="192" t="s">
        <v>164</v>
      </c>
      <c r="G3" s="192" t="s">
        <v>82</v>
      </c>
      <c r="H3" s="362" t="s">
        <v>46</v>
      </c>
      <c r="I3" s="362" t="s">
        <v>47</v>
      </c>
    </row>
    <row r="4" spans="1:11" ht="24.95" customHeight="1" thickBot="1">
      <c r="A4" s="353"/>
      <c r="C4" s="363"/>
      <c r="D4" s="363"/>
      <c r="E4" s="193" t="s">
        <v>85</v>
      </c>
      <c r="F4" s="193" t="s">
        <v>86</v>
      </c>
      <c r="G4" s="193" t="s">
        <v>78</v>
      </c>
      <c r="H4" s="363"/>
      <c r="I4" s="363"/>
    </row>
    <row r="5" spans="1:11" ht="28.5" customHeight="1">
      <c r="A5" s="353"/>
      <c r="C5" s="9">
        <v>1</v>
      </c>
      <c r="D5" s="308" t="s">
        <v>48</v>
      </c>
      <c r="E5" s="309">
        <v>80295.7</v>
      </c>
      <c r="F5" s="309">
        <v>7491969.4000000004</v>
      </c>
      <c r="G5" s="309">
        <f>E5+F5</f>
        <v>7572265.1000000006</v>
      </c>
      <c r="H5" s="10" t="s">
        <v>49</v>
      </c>
      <c r="I5" s="44">
        <v>1</v>
      </c>
      <c r="J5" s="33">
        <f>(E5/180786268.6)*100</f>
        <v>4.4414711704492807E-2</v>
      </c>
      <c r="K5" s="6">
        <f>(F5/91297620.4)*100</f>
        <v>8.206094931254091</v>
      </c>
    </row>
    <row r="6" spans="1:11" ht="28.5" customHeight="1">
      <c r="A6" s="353"/>
      <c r="C6" s="11">
        <v>2</v>
      </c>
      <c r="D6" s="12" t="s">
        <v>50</v>
      </c>
      <c r="E6" s="194">
        <f>E7+E8</f>
        <v>120212371.39999999</v>
      </c>
      <c r="F6" s="194">
        <f>F7+F8</f>
        <v>403846.8</v>
      </c>
      <c r="G6" s="194">
        <f>G7+G8</f>
        <v>120616218.19999999</v>
      </c>
      <c r="H6" s="5" t="s">
        <v>51</v>
      </c>
      <c r="I6" s="36">
        <v>2</v>
      </c>
      <c r="J6" s="33">
        <f t="shared" ref="J6:J20" si="0">(E6/180786268.6)*100</f>
        <v>66.494193575053401</v>
      </c>
      <c r="K6" s="6">
        <f t="shared" ref="K6:K20" si="1">(F6/91297620.4)*100</f>
        <v>0.44234099227409873</v>
      </c>
    </row>
    <row r="7" spans="1:11" ht="28.5" customHeight="1">
      <c r="A7" s="353"/>
      <c r="C7" s="37" t="s">
        <v>205</v>
      </c>
      <c r="D7" s="12" t="s">
        <v>53</v>
      </c>
      <c r="E7" s="194">
        <v>120174322.09999999</v>
      </c>
      <c r="F7" s="194">
        <v>0</v>
      </c>
      <c r="G7" s="194">
        <f>E7</f>
        <v>120174322.09999999</v>
      </c>
      <c r="H7" s="5" t="s">
        <v>69</v>
      </c>
      <c r="I7" s="39" t="s">
        <v>52</v>
      </c>
      <c r="J7" s="33">
        <f t="shared" si="0"/>
        <v>66.473147009794516</v>
      </c>
      <c r="K7" s="6">
        <f t="shared" si="1"/>
        <v>0</v>
      </c>
    </row>
    <row r="8" spans="1:11" ht="28.5" customHeight="1">
      <c r="A8" s="353"/>
      <c r="C8" s="37" t="s">
        <v>55</v>
      </c>
      <c r="D8" s="12" t="s">
        <v>279</v>
      </c>
      <c r="E8" s="194">
        <v>38049.300000000003</v>
      </c>
      <c r="F8" s="194">
        <v>403846.8</v>
      </c>
      <c r="G8" s="194">
        <f t="shared" ref="G8:G10" si="2">E8+F8</f>
        <v>441896.1</v>
      </c>
      <c r="H8" s="5" t="s">
        <v>56</v>
      </c>
      <c r="I8" s="39" t="s">
        <v>55</v>
      </c>
      <c r="J8" s="33">
        <f t="shared" si="0"/>
        <v>2.1046565258883827E-2</v>
      </c>
      <c r="K8" s="6">
        <f t="shared" si="1"/>
        <v>0.44234099227409873</v>
      </c>
    </row>
    <row r="9" spans="1:11" s="127" customFormat="1" ht="28.5" customHeight="1">
      <c r="A9" s="353"/>
      <c r="C9" s="37" t="s">
        <v>57</v>
      </c>
      <c r="D9" s="12" t="s">
        <v>58</v>
      </c>
      <c r="E9" s="194">
        <v>2697706</v>
      </c>
      <c r="F9" s="194">
        <v>2766665.6</v>
      </c>
      <c r="G9" s="194">
        <f>E9+F9</f>
        <v>5464371.5999999996</v>
      </c>
      <c r="H9" s="5" t="s">
        <v>59</v>
      </c>
      <c r="I9" s="36" t="s">
        <v>57</v>
      </c>
      <c r="J9" s="33">
        <f t="shared" si="0"/>
        <v>1.4922073567262066</v>
      </c>
      <c r="K9" s="6">
        <f t="shared" si="1"/>
        <v>3.0303808444058853</v>
      </c>
    </row>
    <row r="10" spans="1:11" ht="28.5" customHeight="1">
      <c r="A10" s="353"/>
      <c r="C10" s="37" t="s">
        <v>60</v>
      </c>
      <c r="D10" s="12" t="s">
        <v>61</v>
      </c>
      <c r="E10" s="194">
        <v>5729214.7999999998</v>
      </c>
      <c r="F10" s="194">
        <v>1420964.3</v>
      </c>
      <c r="G10" s="194">
        <f t="shared" si="2"/>
        <v>7150179.0999999996</v>
      </c>
      <c r="H10" s="5" t="s">
        <v>0</v>
      </c>
      <c r="I10" s="39" t="s">
        <v>60</v>
      </c>
      <c r="J10" s="33">
        <f t="shared" si="0"/>
        <v>3.1690541789300477</v>
      </c>
      <c r="K10" s="6">
        <f t="shared" si="1"/>
        <v>1.5564089116171531</v>
      </c>
    </row>
    <row r="11" spans="1:11" s="127" customFormat="1" ht="28.5" customHeight="1">
      <c r="A11" s="170"/>
      <c r="C11" s="37" t="s">
        <v>1</v>
      </c>
      <c r="D11" s="12" t="s">
        <v>2</v>
      </c>
      <c r="E11" s="194">
        <v>331767.90000000002</v>
      </c>
      <c r="F11" s="194">
        <v>12110663.300000001</v>
      </c>
      <c r="G11" s="194">
        <f>E11+F11</f>
        <v>12442431.200000001</v>
      </c>
      <c r="H11" s="5" t="s">
        <v>3</v>
      </c>
      <c r="I11" s="36" t="s">
        <v>1</v>
      </c>
      <c r="J11" s="33">
        <f t="shared" si="0"/>
        <v>0.18351388220421516</v>
      </c>
      <c r="K11" s="6">
        <f t="shared" si="1"/>
        <v>13.26503719038881</v>
      </c>
    </row>
    <row r="12" spans="1:11" s="127" customFormat="1" ht="28.5" customHeight="1">
      <c r="A12" s="170"/>
      <c r="C12" s="37" t="s">
        <v>4</v>
      </c>
      <c r="D12" s="12" t="s">
        <v>286</v>
      </c>
      <c r="E12" s="194">
        <v>1508480.7</v>
      </c>
      <c r="F12" s="194">
        <v>23958751.5</v>
      </c>
      <c r="G12" s="194">
        <f>E12+F12</f>
        <v>25467232.199999999</v>
      </c>
      <c r="H12" s="5" t="s">
        <v>5</v>
      </c>
      <c r="I12" s="36" t="s">
        <v>4</v>
      </c>
      <c r="J12" s="33">
        <f t="shared" si="0"/>
        <v>0.83440004137570889</v>
      </c>
      <c r="K12" s="6">
        <f t="shared" si="1"/>
        <v>26.242470937391481</v>
      </c>
    </row>
    <row r="13" spans="1:11" s="127" customFormat="1" ht="28.5" customHeight="1">
      <c r="A13" s="170"/>
      <c r="C13" s="37" t="s">
        <v>6</v>
      </c>
      <c r="D13" s="12" t="s">
        <v>7</v>
      </c>
      <c r="E13" s="194">
        <v>7190580.2999999998</v>
      </c>
      <c r="F13" s="194">
        <v>17311459.399999999</v>
      </c>
      <c r="G13" s="194">
        <f>E13+F13</f>
        <v>24502039.699999999</v>
      </c>
      <c r="H13" s="125" t="s">
        <v>8</v>
      </c>
      <c r="I13" s="36" t="s">
        <v>6</v>
      </c>
      <c r="J13" s="33">
        <f t="shared" si="0"/>
        <v>3.9773929489686917</v>
      </c>
      <c r="K13" s="6">
        <f t="shared" si="1"/>
        <v>18.961566932581299</v>
      </c>
    </row>
    <row r="14" spans="1:11" ht="28.5" customHeight="1">
      <c r="A14" s="160"/>
      <c r="C14" s="37" t="s">
        <v>9</v>
      </c>
      <c r="D14" s="12" t="s">
        <v>10</v>
      </c>
      <c r="E14" s="194">
        <f>E15+E16</f>
        <v>4116180</v>
      </c>
      <c r="F14" s="194">
        <f>F15+F16</f>
        <v>17169593.699999999</v>
      </c>
      <c r="G14" s="194">
        <f>G15+G16</f>
        <v>21285773.699999999</v>
      </c>
      <c r="H14" s="43" t="s">
        <v>11</v>
      </c>
      <c r="I14" s="36" t="s">
        <v>9</v>
      </c>
      <c r="J14" s="33">
        <f t="shared" si="0"/>
        <v>2.276821150121354</v>
      </c>
      <c r="K14" s="6">
        <f t="shared" si="1"/>
        <v>18.806178764326258</v>
      </c>
    </row>
    <row r="15" spans="1:11" s="127" customFormat="1" ht="28.5" customHeight="1">
      <c r="A15" s="170"/>
      <c r="C15" s="37" t="s">
        <v>206</v>
      </c>
      <c r="D15" s="12" t="s">
        <v>13</v>
      </c>
      <c r="E15" s="194">
        <v>4116180</v>
      </c>
      <c r="F15" s="194">
        <v>853697.8</v>
      </c>
      <c r="G15" s="194">
        <f>E15+F15</f>
        <v>4969877.8</v>
      </c>
      <c r="H15" s="5" t="s">
        <v>14</v>
      </c>
      <c r="I15" s="36" t="s">
        <v>12</v>
      </c>
      <c r="J15" s="33">
        <f t="shared" si="0"/>
        <v>2.276821150121354</v>
      </c>
      <c r="K15" s="6">
        <f t="shared" si="1"/>
        <v>0.93507124967739019</v>
      </c>
    </row>
    <row r="16" spans="1:11" ht="28.5" customHeight="1">
      <c r="A16" s="160"/>
      <c r="C16" s="37" t="s">
        <v>207</v>
      </c>
      <c r="D16" s="12" t="s">
        <v>16</v>
      </c>
      <c r="E16" s="194">
        <v>0</v>
      </c>
      <c r="F16" s="194">
        <v>16315895.9</v>
      </c>
      <c r="G16" s="194">
        <f>F16</f>
        <v>16315895.9</v>
      </c>
      <c r="H16" s="5" t="s">
        <v>17</v>
      </c>
      <c r="I16" s="39" t="s">
        <v>15</v>
      </c>
      <c r="J16" s="33">
        <f t="shared" si="0"/>
        <v>0</v>
      </c>
      <c r="K16" s="6">
        <f t="shared" si="1"/>
        <v>17.87110751464887</v>
      </c>
    </row>
    <row r="17" spans="1:11" ht="28.5" customHeight="1">
      <c r="A17" s="160"/>
      <c r="C17" s="37" t="s">
        <v>18</v>
      </c>
      <c r="D17" s="12" t="s">
        <v>19</v>
      </c>
      <c r="E17" s="194">
        <f>E18+E19</f>
        <v>38919671.799999997</v>
      </c>
      <c r="F17" s="194">
        <f>F18+F19</f>
        <v>8663706.4000000004</v>
      </c>
      <c r="G17" s="194">
        <f>G18+G19</f>
        <v>47583378.199999996</v>
      </c>
      <c r="H17" s="5" t="s">
        <v>20</v>
      </c>
      <c r="I17" s="36" t="s">
        <v>18</v>
      </c>
      <c r="J17" s="33">
        <f t="shared" si="0"/>
        <v>21.528002154915875</v>
      </c>
      <c r="K17" s="6">
        <f t="shared" si="1"/>
        <v>9.4895204957609174</v>
      </c>
    </row>
    <row r="18" spans="1:11" ht="28.5" customHeight="1">
      <c r="A18" s="160"/>
      <c r="C18" s="37" t="s">
        <v>208</v>
      </c>
      <c r="D18" s="12" t="s">
        <v>90</v>
      </c>
      <c r="E18" s="194">
        <v>38919671.799999997</v>
      </c>
      <c r="F18" s="194">
        <v>0</v>
      </c>
      <c r="G18" s="194">
        <f>E18</f>
        <v>38919671.799999997</v>
      </c>
      <c r="H18" s="5" t="s">
        <v>89</v>
      </c>
      <c r="I18" s="39" t="s">
        <v>21</v>
      </c>
      <c r="J18" s="33">
        <f t="shared" si="0"/>
        <v>21.528002154915875</v>
      </c>
      <c r="K18" s="6">
        <f t="shared" si="1"/>
        <v>0</v>
      </c>
    </row>
    <row r="19" spans="1:11" ht="28.5" customHeight="1" thickBot="1">
      <c r="A19" s="160"/>
      <c r="C19" s="325" t="s">
        <v>209</v>
      </c>
      <c r="D19" s="328" t="s">
        <v>23</v>
      </c>
      <c r="E19" s="194">
        <v>0</v>
      </c>
      <c r="F19" s="329">
        <v>8663706.4000000004</v>
      </c>
      <c r="G19" s="194">
        <f>F19</f>
        <v>8663706.4000000004</v>
      </c>
      <c r="H19" s="13" t="s">
        <v>70</v>
      </c>
      <c r="I19" s="40" t="s">
        <v>22</v>
      </c>
      <c r="J19" s="33">
        <f t="shared" si="0"/>
        <v>0</v>
      </c>
      <c r="K19" s="6">
        <f t="shared" si="1"/>
        <v>9.4895204957609174</v>
      </c>
    </row>
    <row r="20" spans="1:11" ht="28.5" customHeight="1" thickBot="1">
      <c r="A20" s="160"/>
      <c r="C20" s="406" t="s">
        <v>25</v>
      </c>
      <c r="D20" s="406"/>
      <c r="E20" s="195">
        <f>E5+E7+E8+E9+E10+E11+E12+E13+E15+E18</f>
        <v>180786268.60000002</v>
      </c>
      <c r="F20" s="195">
        <f>F5+F8+F9+F10+F11+F12+F13+F15+F16+F19</f>
        <v>91297620.400000006</v>
      </c>
      <c r="G20" s="195">
        <f>G5+G7+G8+G9+G10+G11+G12+G13+G15+G16+G18+G19</f>
        <v>272083888.99999994</v>
      </c>
      <c r="H20" s="416" t="s">
        <v>26</v>
      </c>
      <c r="I20" s="416"/>
      <c r="J20" s="33">
        <f t="shared" si="0"/>
        <v>100.00000000000003</v>
      </c>
      <c r="K20" s="6">
        <f t="shared" si="1"/>
        <v>100</v>
      </c>
    </row>
    <row r="21" spans="1:11" ht="18.75" thickTop="1">
      <c r="A21" s="160"/>
      <c r="C21" s="17"/>
      <c r="D21" s="59"/>
      <c r="E21" s="81"/>
      <c r="F21" s="104"/>
      <c r="G21" s="104"/>
      <c r="H21" s="29"/>
      <c r="I21" s="17"/>
    </row>
    <row r="22" spans="1:11" ht="18">
      <c r="A22" s="168">
        <v>17</v>
      </c>
      <c r="C22" s="7"/>
      <c r="D22" s="60"/>
      <c r="E22" s="62"/>
      <c r="F22" s="62"/>
      <c r="G22" s="61"/>
      <c r="H22" s="30"/>
    </row>
    <row r="23" spans="1:11" ht="18">
      <c r="C23" s="7"/>
      <c r="D23" s="60"/>
      <c r="E23" s="62"/>
      <c r="F23" s="62"/>
      <c r="G23" s="62"/>
      <c r="H23" s="30"/>
    </row>
    <row r="24" spans="1:11" ht="18">
      <c r="C24" s="7"/>
      <c r="D24" s="60"/>
      <c r="E24" s="62"/>
      <c r="F24" s="62"/>
      <c r="G24" s="61"/>
    </row>
    <row r="25" spans="1:11" ht="18">
      <c r="C25" s="7"/>
      <c r="D25" s="60"/>
      <c r="E25" s="62"/>
      <c r="F25" s="62"/>
    </row>
    <row r="26" spans="1:11" ht="18">
      <c r="C26" s="7"/>
      <c r="D26" s="60"/>
      <c r="E26" s="61"/>
      <c r="F26" s="61"/>
      <c r="G26" s="61"/>
    </row>
    <row r="27" spans="1:11" ht="18">
      <c r="C27" s="7"/>
      <c r="D27" s="63"/>
      <c r="E27" s="62"/>
      <c r="F27" s="62"/>
      <c r="G27" s="63"/>
    </row>
    <row r="28" spans="1:11" ht="18">
      <c r="F28" s="33"/>
      <c r="G28" s="61"/>
    </row>
    <row r="29" spans="1:11" ht="15">
      <c r="F29" s="56"/>
    </row>
    <row r="30" spans="1:11">
      <c r="F30" s="21"/>
    </row>
    <row r="55" spans="4:8" ht="21" customHeight="1">
      <c r="D55" s="412" t="s">
        <v>87</v>
      </c>
      <c r="E55" s="413"/>
      <c r="F55" s="413"/>
      <c r="G55" s="413"/>
      <c r="H55" s="413"/>
    </row>
    <row r="56" spans="4:8" ht="31.5" customHeight="1">
      <c r="D56" s="414" t="s">
        <v>88</v>
      </c>
      <c r="E56" s="415"/>
      <c r="F56" s="415"/>
      <c r="G56" s="415"/>
      <c r="H56" s="415"/>
    </row>
    <row r="58" spans="4:8">
      <c r="E58" s="408">
        <v>13</v>
      </c>
      <c r="F58" s="408"/>
      <c r="G58" s="408"/>
    </row>
  </sheetData>
  <mergeCells count="12">
    <mergeCell ref="A1:A10"/>
    <mergeCell ref="C1:I1"/>
    <mergeCell ref="C2:I2"/>
    <mergeCell ref="C3:C4"/>
    <mergeCell ref="D3:D4"/>
    <mergeCell ref="H3:H4"/>
    <mergeCell ref="I3:I4"/>
    <mergeCell ref="E58:G58"/>
    <mergeCell ref="D55:H55"/>
    <mergeCell ref="D56:H56"/>
    <mergeCell ref="C20:D20"/>
    <mergeCell ref="H20:I20"/>
  </mergeCells>
  <phoneticPr fontId="2" type="noConversion"/>
  <printOptions horizontalCentered="1" verticalCentered="1"/>
  <pageMargins left="0.196850393700787" right="0.196850393700787" top="0.37" bottom="0.45" header="0.23622047244094499" footer="0.26"/>
  <pageSetup paperSize="9" scale="86" orientation="landscape" r:id="rId1"/>
  <headerFooter alignWithMargins="0"/>
  <ignoredErrors>
    <ignoredError sqref="C9 C10:C14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27"/>
  <sheetViews>
    <sheetView rightToLeft="1" view="pageBreakPreview" topLeftCell="A7" zoomScaleSheetLayoutView="100" workbookViewId="0">
      <selection activeCell="A8" sqref="A8"/>
    </sheetView>
  </sheetViews>
  <sheetFormatPr defaultRowHeight="12.75"/>
  <cols>
    <col min="1" max="1" width="4.85546875" style="34" customWidth="1"/>
    <col min="2" max="2" width="5" style="34" customWidth="1"/>
    <col min="3" max="3" width="6.42578125" style="34" customWidth="1"/>
    <col min="4" max="4" width="30" style="34" customWidth="1"/>
    <col min="5" max="7" width="23.85546875" style="34" customWidth="1"/>
    <col min="8" max="8" width="30" style="34" customWidth="1"/>
    <col min="9" max="9" width="6.5703125" style="34" customWidth="1"/>
    <col min="10" max="16384" width="9.140625" style="34"/>
  </cols>
  <sheetData>
    <row r="1" spans="1:9" s="90" customFormat="1" ht="24" customHeight="1">
      <c r="A1" s="353" t="s">
        <v>201</v>
      </c>
      <c r="C1" s="392" t="s">
        <v>235</v>
      </c>
      <c r="D1" s="392"/>
      <c r="E1" s="392"/>
      <c r="F1" s="392"/>
      <c r="G1" s="392"/>
      <c r="H1" s="392"/>
      <c r="I1" s="392"/>
    </row>
    <row r="2" spans="1:9" s="90" customFormat="1" ht="39" customHeight="1" thickBot="1">
      <c r="A2" s="353"/>
      <c r="C2" s="393" t="s">
        <v>260</v>
      </c>
      <c r="D2" s="393"/>
      <c r="E2" s="393"/>
      <c r="F2" s="393"/>
      <c r="G2" s="393"/>
      <c r="H2" s="393"/>
      <c r="I2" s="393"/>
    </row>
    <row r="3" spans="1:9" ht="24.95" customHeight="1" thickTop="1">
      <c r="A3" s="353"/>
      <c r="C3" s="362" t="s">
        <v>44</v>
      </c>
      <c r="D3" s="362" t="s">
        <v>45</v>
      </c>
      <c r="E3" s="192" t="s">
        <v>62</v>
      </c>
      <c r="F3" s="192" t="s">
        <v>63</v>
      </c>
      <c r="G3" s="192" t="s">
        <v>64</v>
      </c>
      <c r="H3" s="362" t="s">
        <v>46</v>
      </c>
      <c r="I3" s="362" t="s">
        <v>47</v>
      </c>
    </row>
    <row r="4" spans="1:9" ht="24.95" customHeight="1" thickBot="1">
      <c r="A4" s="353"/>
      <c r="C4" s="363"/>
      <c r="D4" s="363"/>
      <c r="E4" s="193" t="s">
        <v>65</v>
      </c>
      <c r="F4" s="193" t="s">
        <v>66</v>
      </c>
      <c r="G4" s="193" t="s">
        <v>67</v>
      </c>
      <c r="H4" s="363"/>
      <c r="I4" s="363"/>
    </row>
    <row r="5" spans="1:9" ht="32.25" customHeight="1">
      <c r="A5" s="353"/>
      <c r="C5" s="9">
        <v>1</v>
      </c>
      <c r="D5" s="308" t="s">
        <v>48</v>
      </c>
      <c r="E5" s="309">
        <v>320707</v>
      </c>
      <c r="F5" s="309">
        <v>240411.3</v>
      </c>
      <c r="G5" s="309">
        <f>E5-F5</f>
        <v>80295.700000000012</v>
      </c>
      <c r="H5" s="10" t="s">
        <v>49</v>
      </c>
      <c r="I5" s="44">
        <v>1</v>
      </c>
    </row>
    <row r="6" spans="1:9" ht="32.25" customHeight="1">
      <c r="A6" s="353"/>
      <c r="C6" s="11">
        <v>2</v>
      </c>
      <c r="D6" s="12" t="s">
        <v>50</v>
      </c>
      <c r="E6" s="194">
        <f>E7+E8</f>
        <v>125000924.3</v>
      </c>
      <c r="F6" s="194">
        <f>F7+F8</f>
        <v>4788552.9000000004</v>
      </c>
      <c r="G6" s="194">
        <f>G7+G8</f>
        <v>120212371.39999999</v>
      </c>
      <c r="H6" s="5" t="s">
        <v>51</v>
      </c>
      <c r="I6" s="39">
        <v>2</v>
      </c>
    </row>
    <row r="7" spans="1:9" ht="32.25" customHeight="1">
      <c r="A7" s="353"/>
      <c r="C7" s="37" t="s">
        <v>205</v>
      </c>
      <c r="D7" s="12" t="s">
        <v>53</v>
      </c>
      <c r="E7" s="194">
        <v>124956773</v>
      </c>
      <c r="F7" s="194">
        <v>4782450.9000000004</v>
      </c>
      <c r="G7" s="194">
        <f t="shared" ref="G7:G11" si="0">E7-F7</f>
        <v>120174322.09999999</v>
      </c>
      <c r="H7" s="5" t="s">
        <v>69</v>
      </c>
      <c r="I7" s="39" t="s">
        <v>52</v>
      </c>
    </row>
    <row r="8" spans="1:9" ht="32.25" customHeight="1">
      <c r="A8" s="353"/>
      <c r="C8" s="37" t="s">
        <v>55</v>
      </c>
      <c r="D8" s="12" t="s">
        <v>279</v>
      </c>
      <c r="E8" s="194">
        <v>44151.3</v>
      </c>
      <c r="F8" s="194">
        <v>6102</v>
      </c>
      <c r="G8" s="194">
        <f>E8-F8</f>
        <v>38049.300000000003</v>
      </c>
      <c r="H8" s="5" t="s">
        <v>56</v>
      </c>
      <c r="I8" s="39" t="s">
        <v>55</v>
      </c>
    </row>
    <row r="9" spans="1:9" s="126" customFormat="1" ht="32.25" customHeight="1">
      <c r="A9" s="353"/>
      <c r="C9" s="37" t="s">
        <v>57</v>
      </c>
      <c r="D9" s="12" t="s">
        <v>58</v>
      </c>
      <c r="E9" s="194">
        <v>4774760.0999999996</v>
      </c>
      <c r="F9" s="194">
        <v>2077054.1</v>
      </c>
      <c r="G9" s="194">
        <f>E9-F9</f>
        <v>2697705.9999999995</v>
      </c>
      <c r="H9" s="5" t="s">
        <v>59</v>
      </c>
      <c r="I9" s="36" t="s">
        <v>57</v>
      </c>
    </row>
    <row r="10" spans="1:9" ht="32.25" customHeight="1">
      <c r="A10" s="353"/>
      <c r="C10" s="37" t="s">
        <v>60</v>
      </c>
      <c r="D10" s="12" t="s">
        <v>61</v>
      </c>
      <c r="E10" s="194">
        <v>7999655</v>
      </c>
      <c r="F10" s="194">
        <v>2270440.2000000002</v>
      </c>
      <c r="G10" s="194">
        <f t="shared" si="0"/>
        <v>5729214.7999999998</v>
      </c>
      <c r="H10" s="5" t="s">
        <v>0</v>
      </c>
      <c r="I10" s="39" t="s">
        <v>60</v>
      </c>
    </row>
    <row r="11" spans="1:9" s="126" customFormat="1" ht="32.25" customHeight="1">
      <c r="A11" s="172"/>
      <c r="C11" s="37" t="s">
        <v>1</v>
      </c>
      <c r="D11" s="12" t="s">
        <v>2</v>
      </c>
      <c r="E11" s="194">
        <v>638127.69999999995</v>
      </c>
      <c r="F11" s="194">
        <v>306359.8</v>
      </c>
      <c r="G11" s="194">
        <f t="shared" si="0"/>
        <v>331767.89999999997</v>
      </c>
      <c r="H11" s="5" t="s">
        <v>3</v>
      </c>
      <c r="I11" s="36" t="s">
        <v>1</v>
      </c>
    </row>
    <row r="12" spans="1:9" s="126" customFormat="1" ht="32.25" customHeight="1">
      <c r="A12" s="172"/>
      <c r="C12" s="37" t="s">
        <v>4</v>
      </c>
      <c r="D12" s="12" t="s">
        <v>286</v>
      </c>
      <c r="E12" s="194">
        <v>2132534.4</v>
      </c>
      <c r="F12" s="194">
        <v>624053.69999999995</v>
      </c>
      <c r="G12" s="194">
        <f>E12-F12</f>
        <v>1508480.7</v>
      </c>
      <c r="H12" s="5" t="s">
        <v>5</v>
      </c>
      <c r="I12" s="36" t="s">
        <v>4</v>
      </c>
    </row>
    <row r="13" spans="1:9" s="126" customFormat="1" ht="32.25" customHeight="1">
      <c r="A13" s="172"/>
      <c r="C13" s="37" t="s">
        <v>6</v>
      </c>
      <c r="D13" s="12" t="s">
        <v>7</v>
      </c>
      <c r="E13" s="194">
        <v>7626405.4000000004</v>
      </c>
      <c r="F13" s="194">
        <v>435825.1</v>
      </c>
      <c r="G13" s="194">
        <f>E13-F13</f>
        <v>7190580.3000000007</v>
      </c>
      <c r="H13" s="125" t="s">
        <v>8</v>
      </c>
      <c r="I13" s="36" t="s">
        <v>6</v>
      </c>
    </row>
    <row r="14" spans="1:9" ht="32.25" customHeight="1">
      <c r="A14" s="171"/>
      <c r="C14" s="37" t="s">
        <v>9</v>
      </c>
      <c r="D14" s="12" t="s">
        <v>10</v>
      </c>
      <c r="E14" s="194">
        <f>E15+E16</f>
        <v>4430108</v>
      </c>
      <c r="F14" s="194">
        <f>F15+F16</f>
        <v>313928</v>
      </c>
      <c r="G14" s="194">
        <f>E14-F14</f>
        <v>4116180</v>
      </c>
      <c r="H14" s="46" t="s">
        <v>11</v>
      </c>
      <c r="I14" s="39" t="s">
        <v>9</v>
      </c>
    </row>
    <row r="15" spans="1:9" s="126" customFormat="1" ht="32.25" customHeight="1">
      <c r="A15" s="172"/>
      <c r="C15" s="37" t="s">
        <v>206</v>
      </c>
      <c r="D15" s="12" t="s">
        <v>13</v>
      </c>
      <c r="E15" s="194">
        <v>4430108</v>
      </c>
      <c r="F15" s="194">
        <v>313928</v>
      </c>
      <c r="G15" s="194">
        <f>E15-F15</f>
        <v>4116180</v>
      </c>
      <c r="H15" s="5" t="s">
        <v>14</v>
      </c>
      <c r="I15" s="36" t="s">
        <v>12</v>
      </c>
    </row>
    <row r="16" spans="1:9" ht="32.25" customHeight="1">
      <c r="A16" s="171"/>
      <c r="C16" s="37" t="s">
        <v>207</v>
      </c>
      <c r="D16" s="12" t="s">
        <v>16</v>
      </c>
      <c r="E16" s="194">
        <v>0</v>
      </c>
      <c r="F16" s="194">
        <v>0</v>
      </c>
      <c r="G16" s="194">
        <v>0</v>
      </c>
      <c r="H16" s="5" t="s">
        <v>17</v>
      </c>
      <c r="I16" s="36" t="s">
        <v>15</v>
      </c>
    </row>
    <row r="17" spans="1:9" ht="32.25" customHeight="1">
      <c r="A17" s="171"/>
      <c r="C17" s="37" t="s">
        <v>18</v>
      </c>
      <c r="D17" s="12" t="s">
        <v>19</v>
      </c>
      <c r="E17" s="194">
        <f>E18+E19</f>
        <v>44104692.600000001</v>
      </c>
      <c r="F17" s="194">
        <f>F18+F19</f>
        <v>5185020.8</v>
      </c>
      <c r="G17" s="194">
        <f>G18+G19</f>
        <v>38919671.800000004</v>
      </c>
      <c r="H17" s="5" t="s">
        <v>20</v>
      </c>
      <c r="I17" s="39" t="s">
        <v>18</v>
      </c>
    </row>
    <row r="18" spans="1:9" ht="32.25" customHeight="1">
      <c r="A18" s="171"/>
      <c r="C18" s="37" t="s">
        <v>208</v>
      </c>
      <c r="D18" s="12" t="s">
        <v>90</v>
      </c>
      <c r="E18" s="194">
        <v>44104692.600000001</v>
      </c>
      <c r="F18" s="194">
        <v>5185020.8</v>
      </c>
      <c r="G18" s="194">
        <f>E18-F18</f>
        <v>38919671.800000004</v>
      </c>
      <c r="H18" s="5" t="s">
        <v>89</v>
      </c>
      <c r="I18" s="39" t="s">
        <v>21</v>
      </c>
    </row>
    <row r="19" spans="1:9" ht="32.25" customHeight="1" thickBot="1">
      <c r="A19" s="171"/>
      <c r="C19" s="325" t="s">
        <v>209</v>
      </c>
      <c r="D19" s="328" t="s">
        <v>23</v>
      </c>
      <c r="E19" s="194">
        <v>0</v>
      </c>
      <c r="F19" s="194">
        <v>0</v>
      </c>
      <c r="G19" s="194">
        <v>0</v>
      </c>
      <c r="H19" s="13" t="s">
        <v>70</v>
      </c>
      <c r="I19" s="40" t="s">
        <v>22</v>
      </c>
    </row>
    <row r="20" spans="1:9" ht="32.25" customHeight="1" thickBot="1">
      <c r="A20" s="171"/>
      <c r="C20" s="406" t="s">
        <v>25</v>
      </c>
      <c r="D20" s="406"/>
      <c r="E20" s="195">
        <f>E5+E7+E8+E9+E10+E11+E12+E13+E15+E18</f>
        <v>197027914.49999997</v>
      </c>
      <c r="F20" s="195">
        <f>F5+F7+F8+F9+F10+F11+F12+F13+F15+F18</f>
        <v>16241645.899999999</v>
      </c>
      <c r="G20" s="195">
        <f>G5+G7+G8+G9+G10+G11+G12+G13+G15+G18</f>
        <v>180786268.60000002</v>
      </c>
      <c r="H20" s="416" t="s">
        <v>26</v>
      </c>
      <c r="I20" s="416"/>
    </row>
    <row r="21" spans="1:9" ht="15.75" customHeight="1" thickTop="1">
      <c r="A21" s="171"/>
      <c r="C21" s="47"/>
      <c r="D21" s="47"/>
      <c r="E21" s="146"/>
      <c r="F21" s="146"/>
      <c r="G21" s="146"/>
    </row>
    <row r="22" spans="1:9" ht="19.5" customHeight="1">
      <c r="A22" s="173">
        <v>18</v>
      </c>
      <c r="C22" s="48"/>
      <c r="E22" s="121"/>
      <c r="F22" s="49"/>
      <c r="G22" s="49"/>
    </row>
    <row r="23" spans="1:9" ht="36.75" customHeight="1">
      <c r="C23" s="48"/>
    </row>
    <row r="24" spans="1:9" ht="36.75" customHeight="1">
      <c r="C24" s="48"/>
      <c r="E24" s="49"/>
      <c r="F24" s="49"/>
      <c r="G24" s="49"/>
    </row>
    <row r="25" spans="1:9">
      <c r="C25" s="48"/>
      <c r="E25" s="49"/>
      <c r="F25" s="49"/>
      <c r="G25" s="49"/>
    </row>
    <row r="26" spans="1:9">
      <c r="E26" s="49"/>
      <c r="F26" s="49"/>
      <c r="G26" s="49"/>
    </row>
    <row r="27" spans="1:9">
      <c r="E27" s="188"/>
      <c r="F27" s="188"/>
      <c r="G27" s="188"/>
    </row>
  </sheetData>
  <mergeCells count="9">
    <mergeCell ref="I3:I4"/>
    <mergeCell ref="H20:I20"/>
    <mergeCell ref="C1:I1"/>
    <mergeCell ref="C2:I2"/>
    <mergeCell ref="A1:A10"/>
    <mergeCell ref="C20:D20"/>
    <mergeCell ref="C3:C4"/>
    <mergeCell ref="D3:D4"/>
    <mergeCell ref="H3:H4"/>
  </mergeCells>
  <phoneticPr fontId="2" type="noConversion"/>
  <printOptions horizontalCentered="1" verticalCentered="1"/>
  <pageMargins left="0.37" right="0.24" top="0.45" bottom="0.34" header="0.26" footer="0.196850393700787"/>
  <pageSetup paperSize="9" scale="83" orientation="landscape" r:id="rId1"/>
  <headerFooter alignWithMargins="0">
    <oddFooter>&amp;C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58"/>
  <sheetViews>
    <sheetView rightToLeft="1" view="pageBreakPreview" zoomScaleSheetLayoutView="100" workbookViewId="0">
      <selection activeCell="A8" sqref="A8"/>
    </sheetView>
  </sheetViews>
  <sheetFormatPr defaultRowHeight="12.75"/>
  <cols>
    <col min="1" max="1" width="5.140625" style="34" customWidth="1"/>
    <col min="2" max="2" width="3.85546875" style="34" customWidth="1"/>
    <col min="3" max="3" width="6.42578125" style="34" customWidth="1"/>
    <col min="4" max="4" width="26.7109375" style="34" customWidth="1"/>
    <col min="5" max="7" width="25.42578125" style="34" customWidth="1"/>
    <col min="8" max="8" width="37.7109375" style="34" customWidth="1"/>
    <col min="9" max="9" width="6.7109375" style="34" customWidth="1"/>
    <col min="10" max="16384" width="9.140625" style="34"/>
  </cols>
  <sheetData>
    <row r="1" spans="1:9" s="90" customFormat="1" ht="24" customHeight="1">
      <c r="A1" s="353" t="s">
        <v>201</v>
      </c>
      <c r="C1" s="392" t="s">
        <v>233</v>
      </c>
      <c r="D1" s="392"/>
      <c r="E1" s="392"/>
      <c r="F1" s="392"/>
      <c r="G1" s="392"/>
      <c r="H1" s="392"/>
      <c r="I1" s="392"/>
    </row>
    <row r="2" spans="1:9" s="90" customFormat="1" ht="39" customHeight="1" thickBot="1">
      <c r="A2" s="353"/>
      <c r="C2" s="393" t="s">
        <v>234</v>
      </c>
      <c r="D2" s="393"/>
      <c r="E2" s="393"/>
      <c r="F2" s="393"/>
      <c r="G2" s="393"/>
      <c r="H2" s="393"/>
      <c r="I2" s="393"/>
    </row>
    <row r="3" spans="1:9" ht="24.95" customHeight="1" thickTop="1">
      <c r="A3" s="353"/>
      <c r="C3" s="362" t="s">
        <v>44</v>
      </c>
      <c r="D3" s="362" t="s">
        <v>45</v>
      </c>
      <c r="E3" s="192" t="s">
        <v>33</v>
      </c>
      <c r="F3" s="192" t="s">
        <v>35</v>
      </c>
      <c r="G3" s="192" t="s">
        <v>64</v>
      </c>
      <c r="H3" s="362" t="s">
        <v>46</v>
      </c>
      <c r="I3" s="362" t="s">
        <v>47</v>
      </c>
    </row>
    <row r="4" spans="1:9" ht="24.95" customHeight="1" thickBot="1">
      <c r="A4" s="353"/>
      <c r="C4" s="363"/>
      <c r="D4" s="363"/>
      <c r="E4" s="193" t="s">
        <v>32</v>
      </c>
      <c r="F4" s="193" t="s">
        <v>68</v>
      </c>
      <c r="G4" s="193" t="s">
        <v>67</v>
      </c>
      <c r="H4" s="363"/>
      <c r="I4" s="363"/>
    </row>
    <row r="5" spans="1:9" ht="28.5" customHeight="1">
      <c r="A5" s="353"/>
      <c r="C5" s="9">
        <v>1</v>
      </c>
      <c r="D5" s="308" t="s">
        <v>48</v>
      </c>
      <c r="E5" s="309">
        <v>35763.300000000003</v>
      </c>
      <c r="F5" s="309">
        <v>44532.4</v>
      </c>
      <c r="G5" s="319">
        <f>E5+F5</f>
        <v>80295.700000000012</v>
      </c>
      <c r="H5" s="10" t="s">
        <v>49</v>
      </c>
      <c r="I5" s="44">
        <v>1</v>
      </c>
    </row>
    <row r="6" spans="1:9" ht="28.5" customHeight="1">
      <c r="A6" s="353"/>
      <c r="C6" s="11">
        <v>2</v>
      </c>
      <c r="D6" s="12" t="s">
        <v>50</v>
      </c>
      <c r="E6" s="194">
        <f>E7+E8</f>
        <v>2904734.6999999997</v>
      </c>
      <c r="F6" s="194">
        <f>F7+F8</f>
        <v>117307636.7</v>
      </c>
      <c r="G6" s="194">
        <f>G7+G8</f>
        <v>120212371.40000001</v>
      </c>
      <c r="H6" s="5" t="s">
        <v>51</v>
      </c>
      <c r="I6" s="39">
        <v>2</v>
      </c>
    </row>
    <row r="7" spans="1:9" ht="28.5" customHeight="1">
      <c r="A7" s="353"/>
      <c r="C7" s="37" t="s">
        <v>205</v>
      </c>
      <c r="D7" s="12" t="s">
        <v>53</v>
      </c>
      <c r="E7" s="194">
        <v>2862898.4</v>
      </c>
      <c r="F7" s="194">
        <v>117311423.7</v>
      </c>
      <c r="G7" s="194">
        <f>E7+F7</f>
        <v>120174322.10000001</v>
      </c>
      <c r="H7" s="5" t="s">
        <v>69</v>
      </c>
      <c r="I7" s="39" t="s">
        <v>52</v>
      </c>
    </row>
    <row r="8" spans="1:9" ht="28.5" customHeight="1">
      <c r="A8" s="353"/>
      <c r="C8" s="37" t="s">
        <v>55</v>
      </c>
      <c r="D8" s="12" t="s">
        <v>279</v>
      </c>
      <c r="E8" s="194">
        <v>41836.300000000003</v>
      </c>
      <c r="F8" s="194">
        <v>-3787</v>
      </c>
      <c r="G8" s="194">
        <f t="shared" ref="G8:G11" si="0">E8+F8</f>
        <v>38049.300000000003</v>
      </c>
      <c r="H8" s="5" t="s">
        <v>56</v>
      </c>
      <c r="I8" s="39" t="s">
        <v>55</v>
      </c>
    </row>
    <row r="9" spans="1:9" s="126" customFormat="1" ht="28.5" customHeight="1">
      <c r="A9" s="353"/>
      <c r="C9" s="37" t="s">
        <v>57</v>
      </c>
      <c r="D9" s="12" t="s">
        <v>58</v>
      </c>
      <c r="E9" s="194">
        <v>1180948.3</v>
      </c>
      <c r="F9" s="194">
        <f>'13'!G9-'14'!E9</f>
        <v>1516757.6999999995</v>
      </c>
      <c r="G9" s="194">
        <f t="shared" si="0"/>
        <v>2697705.9999999995</v>
      </c>
      <c r="H9" s="5" t="s">
        <v>59</v>
      </c>
      <c r="I9" s="36" t="s">
        <v>57</v>
      </c>
    </row>
    <row r="10" spans="1:9" ht="28.5" customHeight="1">
      <c r="A10" s="353"/>
      <c r="C10" s="37" t="s">
        <v>60</v>
      </c>
      <c r="D10" s="12" t="s">
        <v>61</v>
      </c>
      <c r="E10" s="194">
        <v>1265404.5</v>
      </c>
      <c r="F10" s="194">
        <f>'13'!G10-'14'!E10</f>
        <v>4463810.3</v>
      </c>
      <c r="G10" s="194">
        <f t="shared" si="0"/>
        <v>5729214.7999999998</v>
      </c>
      <c r="H10" s="5" t="s">
        <v>0</v>
      </c>
      <c r="I10" s="39" t="s">
        <v>60</v>
      </c>
    </row>
    <row r="11" spans="1:9" s="126" customFormat="1" ht="28.5" customHeight="1">
      <c r="A11" s="172"/>
      <c r="C11" s="37" t="s">
        <v>1</v>
      </c>
      <c r="D11" s="12" t="s">
        <v>2</v>
      </c>
      <c r="E11" s="194">
        <v>236996.9</v>
      </c>
      <c r="F11" s="194">
        <f>'13'!G11-'14'!E11</f>
        <v>94770.999999999971</v>
      </c>
      <c r="G11" s="194">
        <f t="shared" si="0"/>
        <v>331767.89999999997</v>
      </c>
      <c r="H11" s="5" t="s">
        <v>3</v>
      </c>
      <c r="I11" s="36" t="s">
        <v>1</v>
      </c>
    </row>
    <row r="12" spans="1:9" s="126" customFormat="1" ht="28.5" customHeight="1">
      <c r="A12" s="172"/>
      <c r="C12" s="37" t="s">
        <v>4</v>
      </c>
      <c r="D12" s="12" t="s">
        <v>286</v>
      </c>
      <c r="E12" s="194">
        <v>756466.5</v>
      </c>
      <c r="F12" s="194">
        <f>'13'!G12-'14'!E12</f>
        <v>752014.2</v>
      </c>
      <c r="G12" s="194">
        <f>E12+F12</f>
        <v>1508480.7</v>
      </c>
      <c r="H12" s="5" t="s">
        <v>5</v>
      </c>
      <c r="I12" s="36" t="s">
        <v>4</v>
      </c>
    </row>
    <row r="13" spans="1:9" s="126" customFormat="1" ht="28.5" customHeight="1">
      <c r="A13" s="172"/>
      <c r="C13" s="37" t="s">
        <v>6</v>
      </c>
      <c r="D13" s="12" t="s">
        <v>7</v>
      </c>
      <c r="E13" s="194">
        <v>720570.4</v>
      </c>
      <c r="F13" s="194">
        <v>6470009.9000000004</v>
      </c>
      <c r="G13" s="194">
        <f>E13+F13</f>
        <v>7190580.3000000007</v>
      </c>
      <c r="H13" s="125" t="s">
        <v>8</v>
      </c>
      <c r="I13" s="36" t="s">
        <v>6</v>
      </c>
    </row>
    <row r="14" spans="1:9" ht="28.5" customHeight="1">
      <c r="A14" s="171"/>
      <c r="C14" s="37" t="s">
        <v>9</v>
      </c>
      <c r="D14" s="12" t="s">
        <v>10</v>
      </c>
      <c r="E14" s="194">
        <f>E15+E16</f>
        <v>334660</v>
      </c>
      <c r="F14" s="194">
        <f>F15+F16</f>
        <v>3781520</v>
      </c>
      <c r="G14" s="194">
        <f>E14+F14</f>
        <v>4116180</v>
      </c>
      <c r="H14" s="46" t="s">
        <v>11</v>
      </c>
      <c r="I14" s="39" t="s">
        <v>9</v>
      </c>
    </row>
    <row r="15" spans="1:9" s="126" customFormat="1" ht="28.5" customHeight="1">
      <c r="A15" s="172"/>
      <c r="C15" s="37" t="s">
        <v>206</v>
      </c>
      <c r="D15" s="12" t="s">
        <v>13</v>
      </c>
      <c r="E15" s="194">
        <v>334660</v>
      </c>
      <c r="F15" s="194">
        <v>3781520</v>
      </c>
      <c r="G15" s="194">
        <f>E15+F15</f>
        <v>4116180</v>
      </c>
      <c r="H15" s="5" t="s">
        <v>14</v>
      </c>
      <c r="I15" s="36" t="s">
        <v>12</v>
      </c>
    </row>
    <row r="16" spans="1:9" ht="28.5" customHeight="1">
      <c r="A16" s="171"/>
      <c r="C16" s="37" t="s">
        <v>207</v>
      </c>
      <c r="D16" s="12" t="s">
        <v>16</v>
      </c>
      <c r="E16" s="194">
        <v>0</v>
      </c>
      <c r="F16" s="194">
        <v>0</v>
      </c>
      <c r="G16" s="194">
        <v>0</v>
      </c>
      <c r="H16" s="5" t="s">
        <v>17</v>
      </c>
      <c r="I16" s="39" t="s">
        <v>15</v>
      </c>
    </row>
    <row r="17" spans="1:9" ht="28.5" customHeight="1">
      <c r="A17" s="171"/>
      <c r="C17" s="37" t="s">
        <v>18</v>
      </c>
      <c r="D17" s="12" t="s">
        <v>19</v>
      </c>
      <c r="E17" s="194">
        <f>E18+E19</f>
        <v>37522040.399999999</v>
      </c>
      <c r="F17" s="194">
        <f>F18+F19</f>
        <v>1397631.4</v>
      </c>
      <c r="G17" s="194">
        <f>G18+G19</f>
        <v>38919671.799999997</v>
      </c>
      <c r="H17" s="5" t="s">
        <v>20</v>
      </c>
      <c r="I17" s="39" t="s">
        <v>18</v>
      </c>
    </row>
    <row r="18" spans="1:9" ht="28.5" customHeight="1">
      <c r="A18" s="171"/>
      <c r="C18" s="37" t="s">
        <v>208</v>
      </c>
      <c r="D18" s="12" t="s">
        <v>90</v>
      </c>
      <c r="E18" s="194">
        <v>37522040.399999999</v>
      </c>
      <c r="F18" s="194">
        <v>1397631.4</v>
      </c>
      <c r="G18" s="194">
        <f>E18+F18</f>
        <v>38919671.799999997</v>
      </c>
      <c r="H18" s="5" t="s">
        <v>89</v>
      </c>
      <c r="I18" s="39" t="s">
        <v>21</v>
      </c>
    </row>
    <row r="19" spans="1:9" ht="28.5" customHeight="1" thickBot="1">
      <c r="A19" s="171"/>
      <c r="C19" s="325" t="s">
        <v>209</v>
      </c>
      <c r="D19" s="328" t="s">
        <v>23</v>
      </c>
      <c r="E19" s="194">
        <v>0</v>
      </c>
      <c r="F19" s="194">
        <v>0</v>
      </c>
      <c r="G19" s="194">
        <v>0</v>
      </c>
      <c r="H19" s="13" t="s">
        <v>70</v>
      </c>
      <c r="I19" s="40" t="s">
        <v>22</v>
      </c>
    </row>
    <row r="20" spans="1:9" ht="28.5" customHeight="1" thickBot="1">
      <c r="A20" s="171"/>
      <c r="C20" s="406" t="s">
        <v>25</v>
      </c>
      <c r="D20" s="406"/>
      <c r="E20" s="195">
        <f>E5+E7+E8+E9+E10+E11+E12+E13+E15+E18</f>
        <v>44957585</v>
      </c>
      <c r="F20" s="195">
        <f>F5+F7+F8+F9+F10+F11+F12+F13+F15+F18</f>
        <v>135828683.60000002</v>
      </c>
      <c r="G20" s="195">
        <f>G5+G7+G8+G9+G10+G11+G12+G13+G15+G18</f>
        <v>180786268.60000002</v>
      </c>
      <c r="H20" s="416" t="s">
        <v>26</v>
      </c>
      <c r="I20" s="416"/>
    </row>
    <row r="21" spans="1:9" ht="13.5" thickTop="1">
      <c r="A21" s="171"/>
      <c r="C21" s="47"/>
      <c r="D21" s="47"/>
      <c r="E21" s="146"/>
      <c r="F21" s="146"/>
      <c r="G21" s="146"/>
      <c r="H21" s="47"/>
      <c r="I21" s="47"/>
    </row>
    <row r="22" spans="1:9" ht="17.25">
      <c r="A22" s="173">
        <v>19</v>
      </c>
      <c r="C22" s="48"/>
      <c r="E22" s="147"/>
      <c r="F22" s="147"/>
      <c r="G22" s="147"/>
    </row>
    <row r="23" spans="1:9">
      <c r="C23" s="48"/>
      <c r="D23" s="35"/>
      <c r="E23" s="50"/>
      <c r="F23" s="50"/>
      <c r="G23" s="50"/>
      <c r="H23" s="35"/>
    </row>
    <row r="24" spans="1:9">
      <c r="C24" s="48"/>
    </row>
    <row r="25" spans="1:9">
      <c r="C25" s="48"/>
      <c r="E25" s="49"/>
      <c r="F25" s="49"/>
      <c r="G25" s="49"/>
    </row>
    <row r="26" spans="1:9">
      <c r="G26" s="49"/>
    </row>
    <row r="27" spans="1:9">
      <c r="E27" s="49"/>
      <c r="F27" s="49"/>
      <c r="G27" s="49"/>
    </row>
    <row r="28" spans="1:9">
      <c r="E28" s="188"/>
      <c r="F28" s="188"/>
      <c r="G28" s="49"/>
    </row>
    <row r="30" spans="1:9">
      <c r="E30" s="49"/>
      <c r="F30" s="49"/>
      <c r="G30" s="49"/>
    </row>
    <row r="32" spans="1:9">
      <c r="E32" s="49"/>
      <c r="F32" s="49"/>
      <c r="G32" s="49"/>
    </row>
    <row r="34" spans="5:7">
      <c r="E34" s="49"/>
      <c r="F34" s="49"/>
      <c r="G34" s="49"/>
    </row>
    <row r="35" spans="5:7">
      <c r="E35" s="49"/>
      <c r="F35" s="49"/>
      <c r="G35" s="49"/>
    </row>
    <row r="52" spans="4:9" ht="15.75">
      <c r="D52" s="360"/>
      <c r="E52" s="360"/>
      <c r="F52" s="360"/>
      <c r="G52" s="360"/>
      <c r="H52" s="360"/>
      <c r="I52" s="360"/>
    </row>
    <row r="53" spans="4:9" ht="30" customHeight="1">
      <c r="D53" s="411"/>
      <c r="E53" s="411"/>
      <c r="F53" s="411"/>
      <c r="G53" s="411"/>
      <c r="H53" s="411"/>
      <c r="I53" s="411"/>
    </row>
    <row r="58" spans="4:9">
      <c r="D58" s="417"/>
      <c r="E58" s="417"/>
      <c r="F58" s="417"/>
      <c r="G58" s="417"/>
      <c r="H58" s="417"/>
      <c r="I58" s="417"/>
    </row>
  </sheetData>
  <mergeCells count="12">
    <mergeCell ref="A1:A10"/>
    <mergeCell ref="C1:I1"/>
    <mergeCell ref="C2:I2"/>
    <mergeCell ref="H3:H4"/>
    <mergeCell ref="I3:I4"/>
    <mergeCell ref="C3:C4"/>
    <mergeCell ref="D3:D4"/>
    <mergeCell ref="D58:I58"/>
    <mergeCell ref="D52:I52"/>
    <mergeCell ref="D53:I53"/>
    <mergeCell ref="H20:I20"/>
    <mergeCell ref="C20:D20"/>
  </mergeCells>
  <phoneticPr fontId="2" type="noConversion"/>
  <printOptions horizontalCentered="1" verticalCentered="1"/>
  <pageMargins left="0.196850393700787" right="0.196850393700787" top="0.46" bottom="0.47" header="0.23" footer="0.31"/>
  <pageSetup paperSize="9" scale="88" orientation="landscape" r:id="rId1"/>
  <headerFooter alignWithMargins="0"/>
  <rowBreaks count="1" manualBreakCount="1">
    <brk id="22" min="2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32"/>
  <sheetViews>
    <sheetView rightToLeft="1" view="pageBreakPreview" zoomScaleSheetLayoutView="100" workbookViewId="0">
      <selection activeCell="A8" sqref="A8"/>
    </sheetView>
  </sheetViews>
  <sheetFormatPr defaultRowHeight="12.75"/>
  <cols>
    <col min="1" max="1" width="4.85546875" style="1" customWidth="1"/>
    <col min="2" max="2" width="4" style="1" customWidth="1"/>
    <col min="3" max="3" width="6.42578125" style="1" customWidth="1"/>
    <col min="4" max="4" width="26.7109375" style="1" customWidth="1"/>
    <col min="5" max="7" width="24.5703125" style="1" customWidth="1"/>
    <col min="8" max="8" width="28.140625" style="1" customWidth="1"/>
    <col min="9" max="9" width="6.140625" style="1" customWidth="1"/>
    <col min="10" max="16384" width="9.140625" style="1"/>
  </cols>
  <sheetData>
    <row r="1" spans="1:9" s="91" customFormat="1" ht="24" customHeight="1">
      <c r="A1" s="353" t="s">
        <v>201</v>
      </c>
      <c r="C1" s="392" t="s">
        <v>231</v>
      </c>
      <c r="D1" s="392"/>
      <c r="E1" s="392"/>
      <c r="F1" s="392"/>
      <c r="G1" s="392"/>
      <c r="H1" s="392"/>
      <c r="I1" s="392"/>
    </row>
    <row r="2" spans="1:9" s="91" customFormat="1" ht="39" customHeight="1" thickBot="1">
      <c r="A2" s="353"/>
      <c r="C2" s="393" t="s">
        <v>232</v>
      </c>
      <c r="D2" s="393"/>
      <c r="E2" s="393"/>
      <c r="F2" s="393"/>
      <c r="G2" s="393"/>
      <c r="H2" s="393"/>
      <c r="I2" s="393"/>
    </row>
    <row r="3" spans="1:9" ht="24.95" customHeight="1" thickTop="1">
      <c r="A3" s="353"/>
      <c r="C3" s="362" t="s">
        <v>44</v>
      </c>
      <c r="D3" s="362" t="s">
        <v>45</v>
      </c>
      <c r="E3" s="192" t="s">
        <v>62</v>
      </c>
      <c r="F3" s="192" t="s">
        <v>63</v>
      </c>
      <c r="G3" s="192" t="s">
        <v>64</v>
      </c>
      <c r="H3" s="362" t="s">
        <v>46</v>
      </c>
      <c r="I3" s="362" t="s">
        <v>47</v>
      </c>
    </row>
    <row r="4" spans="1:9" ht="24.95" customHeight="1" thickBot="1">
      <c r="A4" s="353"/>
      <c r="C4" s="363"/>
      <c r="D4" s="363"/>
      <c r="E4" s="193" t="s">
        <v>65</v>
      </c>
      <c r="F4" s="193" t="s">
        <v>66</v>
      </c>
      <c r="G4" s="193" t="s">
        <v>67</v>
      </c>
      <c r="H4" s="363"/>
      <c r="I4" s="363"/>
    </row>
    <row r="5" spans="1:9" ht="30.75" customHeight="1">
      <c r="A5" s="353"/>
      <c r="C5" s="9">
        <v>1</v>
      </c>
      <c r="D5" s="308" t="s">
        <v>48</v>
      </c>
      <c r="E5" s="330">
        <v>10092300.800000001</v>
      </c>
      <c r="F5" s="309">
        <v>2600331.4</v>
      </c>
      <c r="G5" s="331">
        <f>E5-F5</f>
        <v>7491969.4000000004</v>
      </c>
      <c r="H5" s="10" t="s">
        <v>49</v>
      </c>
      <c r="I5" s="44">
        <v>1</v>
      </c>
    </row>
    <row r="6" spans="1:9" ht="30.75" customHeight="1">
      <c r="A6" s="353"/>
      <c r="C6" s="11">
        <v>2</v>
      </c>
      <c r="D6" s="12" t="s">
        <v>50</v>
      </c>
      <c r="E6" s="194">
        <f>E7+E8</f>
        <v>652312.80000000005</v>
      </c>
      <c r="F6" s="194">
        <f>F7+F8</f>
        <v>248466</v>
      </c>
      <c r="G6" s="194">
        <f>G8</f>
        <v>403846.80000000005</v>
      </c>
      <c r="H6" s="5" t="s">
        <v>51</v>
      </c>
      <c r="I6" s="39">
        <v>2</v>
      </c>
    </row>
    <row r="7" spans="1:9" ht="30.75" customHeight="1">
      <c r="A7" s="353"/>
      <c r="C7" s="37" t="s">
        <v>205</v>
      </c>
      <c r="D7" s="12" t="s">
        <v>53</v>
      </c>
      <c r="E7" s="194">
        <v>0</v>
      </c>
      <c r="F7" s="194">
        <v>0</v>
      </c>
      <c r="G7" s="194">
        <v>0</v>
      </c>
      <c r="H7" s="5" t="s">
        <v>69</v>
      </c>
      <c r="I7" s="39" t="s">
        <v>52</v>
      </c>
    </row>
    <row r="8" spans="1:9" ht="30.75" customHeight="1">
      <c r="A8" s="353"/>
      <c r="C8" s="37" t="s">
        <v>55</v>
      </c>
      <c r="D8" s="12" t="s">
        <v>279</v>
      </c>
      <c r="E8" s="194">
        <v>652312.80000000005</v>
      </c>
      <c r="F8" s="194">
        <v>248466</v>
      </c>
      <c r="G8" s="194">
        <f>E8-F8</f>
        <v>403846.80000000005</v>
      </c>
      <c r="H8" s="5" t="s">
        <v>56</v>
      </c>
      <c r="I8" s="39" t="s">
        <v>55</v>
      </c>
    </row>
    <row r="9" spans="1:9" s="102" customFormat="1" ht="30.75" customHeight="1">
      <c r="A9" s="353"/>
      <c r="C9" s="37" t="s">
        <v>57</v>
      </c>
      <c r="D9" s="12" t="s">
        <v>58</v>
      </c>
      <c r="E9" s="194">
        <v>8429283.5</v>
      </c>
      <c r="F9" s="194">
        <v>5662617.9000000004</v>
      </c>
      <c r="G9" s="194">
        <f>E9-F9</f>
        <v>2766665.5999999996</v>
      </c>
      <c r="H9" s="5" t="s">
        <v>59</v>
      </c>
      <c r="I9" s="36" t="s">
        <v>57</v>
      </c>
    </row>
    <row r="10" spans="1:9" ht="30.75" customHeight="1">
      <c r="A10" s="353"/>
      <c r="C10" s="37" t="s">
        <v>60</v>
      </c>
      <c r="D10" s="12" t="s">
        <v>61</v>
      </c>
      <c r="E10" s="194">
        <v>3150696.8</v>
      </c>
      <c r="F10" s="194">
        <v>1729732.5</v>
      </c>
      <c r="G10" s="194">
        <f t="shared" ref="G10:G11" si="0">E10-F10</f>
        <v>1420964.2999999998</v>
      </c>
      <c r="H10" s="5" t="s">
        <v>0</v>
      </c>
      <c r="I10" s="39" t="s">
        <v>60</v>
      </c>
    </row>
    <row r="11" spans="1:9" s="102" customFormat="1" ht="30.75" customHeight="1">
      <c r="A11" s="166"/>
      <c r="C11" s="37" t="s">
        <v>1</v>
      </c>
      <c r="D11" s="12" t="s">
        <v>2</v>
      </c>
      <c r="E11" s="194">
        <v>21278970.699999999</v>
      </c>
      <c r="F11" s="194">
        <v>9168307.4000000004</v>
      </c>
      <c r="G11" s="194">
        <f t="shared" si="0"/>
        <v>12110663.299999999</v>
      </c>
      <c r="H11" s="5" t="s">
        <v>3</v>
      </c>
      <c r="I11" s="36" t="s">
        <v>1</v>
      </c>
    </row>
    <row r="12" spans="1:9" s="102" customFormat="1" ht="30.75" customHeight="1">
      <c r="A12" s="166"/>
      <c r="C12" s="37" t="s">
        <v>4</v>
      </c>
      <c r="D12" s="12" t="s">
        <v>286</v>
      </c>
      <c r="E12" s="315">
        <v>40236959.299999997</v>
      </c>
      <c r="F12" s="194">
        <v>16278207.800000001</v>
      </c>
      <c r="G12" s="194">
        <f t="shared" ref="G12:G16" si="1">E12-F12</f>
        <v>23958751.499999996</v>
      </c>
      <c r="H12" s="5" t="s">
        <v>5</v>
      </c>
      <c r="I12" s="36" t="s">
        <v>4</v>
      </c>
    </row>
    <row r="13" spans="1:9" s="102" customFormat="1" ht="30.75" customHeight="1">
      <c r="A13" s="166"/>
      <c r="C13" s="37" t="s">
        <v>6</v>
      </c>
      <c r="D13" s="12" t="s">
        <v>7</v>
      </c>
      <c r="E13" s="201">
        <v>24292214</v>
      </c>
      <c r="F13" s="194">
        <v>6980754.5999999996</v>
      </c>
      <c r="G13" s="194">
        <f t="shared" si="1"/>
        <v>17311459.399999999</v>
      </c>
      <c r="H13" s="125" t="s">
        <v>8</v>
      </c>
      <c r="I13" s="36" t="s">
        <v>6</v>
      </c>
    </row>
    <row r="14" spans="1:9" ht="30.75" customHeight="1">
      <c r="A14" s="165"/>
      <c r="C14" s="37" t="s">
        <v>9</v>
      </c>
      <c r="D14" s="12" t="s">
        <v>10</v>
      </c>
      <c r="E14" s="194">
        <f>E15+E16</f>
        <v>20147804.199999999</v>
      </c>
      <c r="F14" s="194">
        <f>F15+F16</f>
        <v>2978210.5</v>
      </c>
      <c r="G14" s="194">
        <f t="shared" si="1"/>
        <v>17169593.699999999</v>
      </c>
      <c r="H14" s="46" t="s">
        <v>11</v>
      </c>
      <c r="I14" s="39" t="s">
        <v>9</v>
      </c>
    </row>
    <row r="15" spans="1:9" s="102" customFormat="1" ht="30.75" customHeight="1">
      <c r="A15" s="166"/>
      <c r="C15" s="37" t="s">
        <v>206</v>
      </c>
      <c r="D15" s="12" t="s">
        <v>13</v>
      </c>
      <c r="E15" s="194">
        <v>1292256.3</v>
      </c>
      <c r="F15" s="194">
        <v>438558.5</v>
      </c>
      <c r="G15" s="194">
        <f t="shared" si="1"/>
        <v>853697.8</v>
      </c>
      <c r="H15" s="5" t="s">
        <v>14</v>
      </c>
      <c r="I15" s="36" t="s">
        <v>12</v>
      </c>
    </row>
    <row r="16" spans="1:9" ht="30.75" customHeight="1">
      <c r="A16" s="165"/>
      <c r="C16" s="37" t="s">
        <v>207</v>
      </c>
      <c r="D16" s="12" t="s">
        <v>16</v>
      </c>
      <c r="E16" s="315">
        <v>18855547.899999999</v>
      </c>
      <c r="F16" s="194">
        <v>2539652</v>
      </c>
      <c r="G16" s="194">
        <f t="shared" si="1"/>
        <v>16315895.899999999</v>
      </c>
      <c r="H16" s="5" t="s">
        <v>17</v>
      </c>
      <c r="I16" s="36" t="s">
        <v>15</v>
      </c>
    </row>
    <row r="17" spans="1:9" ht="30.75" customHeight="1">
      <c r="A17" s="165"/>
      <c r="C17" s="37" t="s">
        <v>18</v>
      </c>
      <c r="D17" s="12" t="s">
        <v>19</v>
      </c>
      <c r="E17" s="315">
        <f>E18+E19</f>
        <v>11518833.4</v>
      </c>
      <c r="F17" s="194">
        <f>F18+F19</f>
        <v>2855127</v>
      </c>
      <c r="G17" s="194">
        <f>E17-F17</f>
        <v>8663706.4000000004</v>
      </c>
      <c r="H17" s="5" t="s">
        <v>20</v>
      </c>
      <c r="I17" s="39" t="s">
        <v>18</v>
      </c>
    </row>
    <row r="18" spans="1:9" ht="30.75" customHeight="1">
      <c r="A18" s="165"/>
      <c r="C18" s="37" t="s">
        <v>208</v>
      </c>
      <c r="D18" s="12" t="s">
        <v>90</v>
      </c>
      <c r="E18" s="194">
        <v>0</v>
      </c>
      <c r="F18" s="194">
        <v>0</v>
      </c>
      <c r="G18" s="194">
        <v>0</v>
      </c>
      <c r="H18" s="5" t="s">
        <v>89</v>
      </c>
      <c r="I18" s="39" t="s">
        <v>21</v>
      </c>
    </row>
    <row r="19" spans="1:9" ht="30.75" customHeight="1" thickBot="1">
      <c r="A19" s="165"/>
      <c r="C19" s="325" t="s">
        <v>209</v>
      </c>
      <c r="D19" s="12" t="s">
        <v>23</v>
      </c>
      <c r="E19" s="194">
        <v>11518833.4</v>
      </c>
      <c r="F19" s="194">
        <v>2855127</v>
      </c>
      <c r="G19" s="194">
        <f>E19-F19</f>
        <v>8663706.4000000004</v>
      </c>
      <c r="H19" s="13" t="s">
        <v>70</v>
      </c>
      <c r="I19" s="40" t="s">
        <v>22</v>
      </c>
    </row>
    <row r="20" spans="1:9" ht="30.75" customHeight="1" thickBot="1">
      <c r="A20" s="165"/>
      <c r="C20" s="418" t="s">
        <v>25</v>
      </c>
      <c r="D20" s="418"/>
      <c r="E20" s="202">
        <f>E5+E8+E9+E10+E11+E12+E13+E15+E16+E19</f>
        <v>139799375.5</v>
      </c>
      <c r="F20" s="202">
        <f>F5+F8+F9+F10+F11+F12+F13+F15+F16+F19</f>
        <v>48501755.100000001</v>
      </c>
      <c r="G20" s="202">
        <f>G5+G8+G9+G10+G11+G12+G13+G15+G16+G19</f>
        <v>91297620.399999991</v>
      </c>
      <c r="H20" s="416" t="s">
        <v>26</v>
      </c>
      <c r="I20" s="416"/>
    </row>
    <row r="21" spans="1:9" ht="13.5" thickTop="1">
      <c r="A21" s="165"/>
      <c r="C21" s="18"/>
      <c r="D21" s="18"/>
      <c r="E21" s="99"/>
      <c r="F21" s="99"/>
      <c r="G21" s="99"/>
    </row>
    <row r="22" spans="1:9" ht="17.25">
      <c r="A22" s="161">
        <v>20</v>
      </c>
      <c r="C22" s="8"/>
      <c r="E22" s="58"/>
      <c r="F22" s="58"/>
      <c r="G22" s="67"/>
    </row>
    <row r="23" spans="1:9">
      <c r="C23" s="8"/>
      <c r="G23" s="67"/>
    </row>
    <row r="24" spans="1:9">
      <c r="C24" s="8"/>
      <c r="E24" s="100"/>
      <c r="F24" s="58"/>
      <c r="G24" s="58"/>
    </row>
    <row r="25" spans="1:9">
      <c r="C25" s="8"/>
      <c r="E25" s="58"/>
      <c r="F25" s="58"/>
      <c r="G25" s="58"/>
    </row>
    <row r="26" spans="1:9">
      <c r="E26" s="58"/>
      <c r="F26" s="58"/>
      <c r="G26" s="58"/>
    </row>
    <row r="27" spans="1:9">
      <c r="E27" s="67"/>
      <c r="F27" s="67"/>
      <c r="G27" s="67"/>
    </row>
    <row r="28" spans="1:9">
      <c r="G28" s="58"/>
    </row>
    <row r="29" spans="1:9">
      <c r="E29" s="67"/>
      <c r="F29" s="67"/>
      <c r="G29" s="67"/>
    </row>
    <row r="30" spans="1:9">
      <c r="E30" s="58"/>
    </row>
    <row r="31" spans="1:9">
      <c r="E31" s="58"/>
      <c r="F31" s="58"/>
    </row>
    <row r="32" spans="1:9">
      <c r="E32" s="58"/>
      <c r="F32" s="58"/>
    </row>
  </sheetData>
  <mergeCells count="9">
    <mergeCell ref="I3:I4"/>
    <mergeCell ref="H20:I20"/>
    <mergeCell ref="C1:I1"/>
    <mergeCell ref="C2:I2"/>
    <mergeCell ref="A1:A10"/>
    <mergeCell ref="C20:D20"/>
    <mergeCell ref="C3:C4"/>
    <mergeCell ref="D3:D4"/>
    <mergeCell ref="H3:H4"/>
  </mergeCells>
  <phoneticPr fontId="2" type="noConversion"/>
  <printOptions horizontalCentered="1" verticalCentered="1"/>
  <pageMargins left="0.17" right="0.31" top="0.33" bottom="0.35" header="0.2" footer="0.21"/>
  <pageSetup paperSize="9" scale="83" orientation="landscape" r:id="rId1"/>
  <headerFooter alignWithMargins="0">
    <oddFooter>&amp;C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58"/>
  <sheetViews>
    <sheetView rightToLeft="1" view="pageBreakPreview" topLeftCell="A4" zoomScaleSheetLayoutView="100" workbookViewId="0">
      <selection activeCell="A8" sqref="A8"/>
    </sheetView>
  </sheetViews>
  <sheetFormatPr defaultRowHeight="12.75"/>
  <cols>
    <col min="1" max="1" width="4.5703125" style="34" customWidth="1"/>
    <col min="2" max="2" width="4.140625" style="34" customWidth="1"/>
    <col min="3" max="3" width="6.42578125" style="34" customWidth="1"/>
    <col min="4" max="4" width="27.140625" style="34" customWidth="1"/>
    <col min="5" max="7" width="24.7109375" style="34" customWidth="1"/>
    <col min="8" max="8" width="38.28515625" style="34" customWidth="1"/>
    <col min="9" max="9" width="6.85546875" style="34" customWidth="1"/>
    <col min="10" max="16384" width="9.140625" style="34"/>
  </cols>
  <sheetData>
    <row r="1" spans="1:9" s="90" customFormat="1" ht="24" customHeight="1">
      <c r="A1" s="353" t="s">
        <v>201</v>
      </c>
      <c r="C1" s="392" t="s">
        <v>229</v>
      </c>
      <c r="D1" s="392"/>
      <c r="E1" s="392"/>
      <c r="F1" s="392"/>
      <c r="G1" s="392"/>
      <c r="H1" s="392"/>
      <c r="I1" s="392"/>
    </row>
    <row r="2" spans="1:9" s="90" customFormat="1" ht="39" customHeight="1" thickBot="1">
      <c r="A2" s="353"/>
      <c r="C2" s="393" t="s">
        <v>230</v>
      </c>
      <c r="D2" s="393"/>
      <c r="E2" s="393"/>
      <c r="F2" s="393"/>
      <c r="G2" s="393"/>
      <c r="H2" s="393"/>
      <c r="I2" s="393"/>
    </row>
    <row r="3" spans="1:9" ht="24.95" customHeight="1" thickTop="1">
      <c r="A3" s="353"/>
      <c r="C3" s="362" t="s">
        <v>44</v>
      </c>
      <c r="D3" s="362" t="s">
        <v>45</v>
      </c>
      <c r="E3" s="192" t="s">
        <v>33</v>
      </c>
      <c r="F3" s="192" t="s">
        <v>35</v>
      </c>
      <c r="G3" s="192" t="s">
        <v>64</v>
      </c>
      <c r="H3" s="362" t="s">
        <v>46</v>
      </c>
      <c r="I3" s="362" t="s">
        <v>47</v>
      </c>
    </row>
    <row r="4" spans="1:9" ht="24.95" customHeight="1" thickBot="1">
      <c r="A4" s="353"/>
      <c r="C4" s="363"/>
      <c r="D4" s="363"/>
      <c r="E4" s="193" t="s">
        <v>32</v>
      </c>
      <c r="F4" s="193" t="s">
        <v>68</v>
      </c>
      <c r="G4" s="193" t="s">
        <v>67</v>
      </c>
      <c r="H4" s="363"/>
      <c r="I4" s="363"/>
    </row>
    <row r="5" spans="1:9" ht="32.25" customHeight="1">
      <c r="A5" s="353"/>
      <c r="C5" s="9">
        <v>1</v>
      </c>
      <c r="D5" s="308" t="s">
        <v>48</v>
      </c>
      <c r="E5" s="309">
        <v>2577642.9</v>
      </c>
      <c r="F5" s="309">
        <f>'15'!G5-'16'!E5</f>
        <v>4914326.5</v>
      </c>
      <c r="G5" s="309">
        <f>E5+F5</f>
        <v>7491969.4000000004</v>
      </c>
      <c r="H5" s="10" t="s">
        <v>49</v>
      </c>
      <c r="I5" s="44">
        <v>1</v>
      </c>
    </row>
    <row r="6" spans="1:9" ht="32.25" customHeight="1">
      <c r="A6" s="353"/>
      <c r="C6" s="11">
        <v>2</v>
      </c>
      <c r="D6" s="12" t="s">
        <v>50</v>
      </c>
      <c r="E6" s="194">
        <f>E7+E8</f>
        <v>69017.399999999994</v>
      </c>
      <c r="F6" s="194">
        <f>F7+F8</f>
        <v>334829.40000000002</v>
      </c>
      <c r="G6" s="194">
        <f>G8</f>
        <v>403846.80000000005</v>
      </c>
      <c r="H6" s="5" t="s">
        <v>51</v>
      </c>
      <c r="I6" s="39">
        <v>2</v>
      </c>
    </row>
    <row r="7" spans="1:9" ht="32.25" customHeight="1">
      <c r="A7" s="353"/>
      <c r="C7" s="37" t="s">
        <v>205</v>
      </c>
      <c r="D7" s="12" t="s">
        <v>53</v>
      </c>
      <c r="E7" s="194">
        <v>0</v>
      </c>
      <c r="F7" s="194">
        <v>0</v>
      </c>
      <c r="G7" s="194">
        <v>0</v>
      </c>
      <c r="H7" s="5" t="s">
        <v>69</v>
      </c>
      <c r="I7" s="39" t="s">
        <v>52</v>
      </c>
    </row>
    <row r="8" spans="1:9" ht="32.25" customHeight="1">
      <c r="A8" s="353"/>
      <c r="C8" s="37" t="s">
        <v>55</v>
      </c>
      <c r="D8" s="12" t="s">
        <v>279</v>
      </c>
      <c r="E8" s="194">
        <v>69017.399999999994</v>
      </c>
      <c r="F8" s="194">
        <v>334829.40000000002</v>
      </c>
      <c r="G8" s="194">
        <f>E8+F8</f>
        <v>403846.80000000005</v>
      </c>
      <c r="H8" s="5" t="s">
        <v>56</v>
      </c>
      <c r="I8" s="39" t="s">
        <v>55</v>
      </c>
    </row>
    <row r="9" spans="1:9" s="126" customFormat="1" ht="32.25" customHeight="1">
      <c r="A9" s="353"/>
      <c r="C9" s="37" t="s">
        <v>57</v>
      </c>
      <c r="D9" s="12" t="s">
        <v>58</v>
      </c>
      <c r="E9" s="194">
        <v>679538.1</v>
      </c>
      <c r="F9" s="194">
        <f>'15'!G9-'16'!E9</f>
        <v>2087127.4999999995</v>
      </c>
      <c r="G9" s="194">
        <f t="shared" ref="G9:G12" si="0">E9+F9</f>
        <v>2766665.5999999996</v>
      </c>
      <c r="H9" s="5" t="s">
        <v>59</v>
      </c>
      <c r="I9" s="36" t="s">
        <v>57</v>
      </c>
    </row>
    <row r="10" spans="1:9" ht="32.25" customHeight="1">
      <c r="A10" s="353"/>
      <c r="C10" s="37" t="s">
        <v>60</v>
      </c>
      <c r="D10" s="12" t="s">
        <v>61</v>
      </c>
      <c r="E10" s="194">
        <v>426289.3</v>
      </c>
      <c r="F10" s="194">
        <f>'15'!G10-'16'!E10</f>
        <v>994674.99999999977</v>
      </c>
      <c r="G10" s="194">
        <f t="shared" si="0"/>
        <v>1420964.2999999998</v>
      </c>
      <c r="H10" s="5" t="s">
        <v>0</v>
      </c>
      <c r="I10" s="39" t="s">
        <v>60</v>
      </c>
    </row>
    <row r="11" spans="1:9" s="126" customFormat="1" ht="32.25" customHeight="1">
      <c r="A11" s="172"/>
      <c r="C11" s="37" t="s">
        <v>1</v>
      </c>
      <c r="D11" s="12" t="s">
        <v>2</v>
      </c>
      <c r="E11" s="194">
        <v>2605403.2999999998</v>
      </c>
      <c r="F11" s="194">
        <f>'15'!G11-'16'!E11</f>
        <v>9505260</v>
      </c>
      <c r="G11" s="194">
        <f t="shared" si="0"/>
        <v>12110663.300000001</v>
      </c>
      <c r="H11" s="5" t="s">
        <v>3</v>
      </c>
      <c r="I11" s="36" t="s">
        <v>1</v>
      </c>
    </row>
    <row r="12" spans="1:9" s="126" customFormat="1" ht="32.25" customHeight="1">
      <c r="A12" s="172"/>
      <c r="C12" s="37" t="s">
        <v>4</v>
      </c>
      <c r="D12" s="12" t="s">
        <v>286</v>
      </c>
      <c r="E12" s="194">
        <v>13684658.5</v>
      </c>
      <c r="F12" s="194">
        <f>'15'!G12-'16'!E12</f>
        <v>10274092.999999996</v>
      </c>
      <c r="G12" s="194">
        <f t="shared" si="0"/>
        <v>23958751.499999996</v>
      </c>
      <c r="H12" s="5" t="s">
        <v>5</v>
      </c>
      <c r="I12" s="36" t="s">
        <v>4</v>
      </c>
    </row>
    <row r="13" spans="1:9" s="126" customFormat="1" ht="32.25" customHeight="1">
      <c r="A13" s="172"/>
      <c r="C13" s="37" t="s">
        <v>6</v>
      </c>
      <c r="D13" s="12" t="s">
        <v>7</v>
      </c>
      <c r="E13" s="194">
        <v>2681896.4</v>
      </c>
      <c r="F13" s="194">
        <v>14629563</v>
      </c>
      <c r="G13" s="194">
        <f>E13+F13</f>
        <v>17311459.399999999</v>
      </c>
      <c r="H13" s="125" t="s">
        <v>8</v>
      </c>
      <c r="I13" s="36" t="s">
        <v>6</v>
      </c>
    </row>
    <row r="14" spans="1:9" ht="32.25" customHeight="1">
      <c r="A14" s="171"/>
      <c r="C14" s="37" t="s">
        <v>9</v>
      </c>
      <c r="D14" s="12" t="s">
        <v>10</v>
      </c>
      <c r="E14" s="194">
        <f>E15+E16</f>
        <v>254402.2</v>
      </c>
      <c r="F14" s="194">
        <f>F15+F16</f>
        <v>16915191.5</v>
      </c>
      <c r="G14" s="194">
        <f>E14+F14</f>
        <v>17169593.699999999</v>
      </c>
      <c r="H14" s="46" t="s">
        <v>11</v>
      </c>
      <c r="I14" s="39" t="s">
        <v>9</v>
      </c>
    </row>
    <row r="15" spans="1:9" s="126" customFormat="1" ht="32.25" customHeight="1">
      <c r="A15" s="172"/>
      <c r="C15" s="37" t="s">
        <v>206</v>
      </c>
      <c r="D15" s="12" t="s">
        <v>13</v>
      </c>
      <c r="E15" s="194">
        <v>251137.2</v>
      </c>
      <c r="F15" s="194">
        <f>'15'!G15-'16'!E15</f>
        <v>602560.60000000009</v>
      </c>
      <c r="G15" s="194">
        <f>E15+F15</f>
        <v>853697.8</v>
      </c>
      <c r="H15" s="5" t="s">
        <v>14</v>
      </c>
      <c r="I15" s="36" t="s">
        <v>12</v>
      </c>
    </row>
    <row r="16" spans="1:9" s="126" customFormat="1" ht="32.25" customHeight="1">
      <c r="A16" s="172"/>
      <c r="C16" s="37" t="s">
        <v>207</v>
      </c>
      <c r="D16" s="12" t="s">
        <v>16</v>
      </c>
      <c r="E16" s="194">
        <v>3265</v>
      </c>
      <c r="F16" s="194">
        <f>'15'!G16-'16'!E16</f>
        <v>16312630.899999999</v>
      </c>
      <c r="G16" s="194">
        <f>E16+F16</f>
        <v>16315895.899999999</v>
      </c>
      <c r="H16" s="5" t="s">
        <v>17</v>
      </c>
      <c r="I16" s="36" t="s">
        <v>15</v>
      </c>
    </row>
    <row r="17" spans="1:9" ht="32.25" customHeight="1">
      <c r="A17" s="171"/>
      <c r="C17" s="37" t="s">
        <v>18</v>
      </c>
      <c r="D17" s="12" t="s">
        <v>19</v>
      </c>
      <c r="E17" s="194">
        <f>E18+E19</f>
        <v>2667939.9</v>
      </c>
      <c r="F17" s="194">
        <f>F18+F19</f>
        <v>5995766.5</v>
      </c>
      <c r="G17" s="194">
        <f>G18+G19</f>
        <v>8663706.4000000004</v>
      </c>
      <c r="H17" s="5" t="s">
        <v>20</v>
      </c>
      <c r="I17" s="39" t="s">
        <v>18</v>
      </c>
    </row>
    <row r="18" spans="1:9" ht="32.25" customHeight="1">
      <c r="A18" s="171"/>
      <c r="C18" s="37" t="s">
        <v>208</v>
      </c>
      <c r="D18" s="12" t="s">
        <v>90</v>
      </c>
      <c r="E18" s="194">
        <v>0</v>
      </c>
      <c r="F18" s="194">
        <v>0</v>
      </c>
      <c r="G18" s="194">
        <v>0</v>
      </c>
      <c r="H18" s="5" t="s">
        <v>89</v>
      </c>
      <c r="I18" s="39" t="s">
        <v>21</v>
      </c>
    </row>
    <row r="19" spans="1:9" ht="32.25" customHeight="1" thickBot="1">
      <c r="A19" s="171"/>
      <c r="C19" s="325" t="s">
        <v>209</v>
      </c>
      <c r="D19" s="328" t="s">
        <v>23</v>
      </c>
      <c r="E19" s="329">
        <v>2667939.9</v>
      </c>
      <c r="F19" s="329">
        <f>'15'!G19-'16'!E19</f>
        <v>5995766.5</v>
      </c>
      <c r="G19" s="194">
        <f>E19+F19</f>
        <v>8663706.4000000004</v>
      </c>
      <c r="H19" s="13" t="s">
        <v>70</v>
      </c>
      <c r="I19" s="40" t="s">
        <v>22</v>
      </c>
    </row>
    <row r="20" spans="1:9" ht="32.25" customHeight="1" thickBot="1">
      <c r="A20" s="171"/>
      <c r="C20" s="406" t="s">
        <v>25</v>
      </c>
      <c r="D20" s="406"/>
      <c r="E20" s="195">
        <f>E5+E8++E9+E10+E11+E12+E13+E15+E16+E19</f>
        <v>25646787.999999996</v>
      </c>
      <c r="F20" s="195">
        <f>F5+F8+F9+F10+F11+F12+F13+F15+F16+F19</f>
        <v>65650832.399999991</v>
      </c>
      <c r="G20" s="195">
        <f>G5+G8+G9+G10+G11+G12+G13+G15+G16+G19</f>
        <v>91297620.400000006</v>
      </c>
      <c r="H20" s="416" t="s">
        <v>26</v>
      </c>
      <c r="I20" s="416"/>
    </row>
    <row r="21" spans="1:9" ht="13.5" thickTop="1">
      <c r="A21" s="171"/>
      <c r="C21" s="196"/>
      <c r="D21" s="196"/>
      <c r="E21" s="197"/>
      <c r="F21" s="197"/>
      <c r="G21" s="197"/>
      <c r="H21" s="196"/>
      <c r="I21" s="196"/>
    </row>
    <row r="22" spans="1:9" ht="17.25">
      <c r="A22" s="173">
        <v>21</v>
      </c>
      <c r="C22" s="198"/>
      <c r="D22" s="199"/>
      <c r="E22" s="200"/>
      <c r="F22" s="200"/>
      <c r="G22" s="200"/>
      <c r="H22" s="199"/>
      <c r="I22" s="199"/>
    </row>
    <row r="23" spans="1:9">
      <c r="C23" s="48"/>
      <c r="D23" s="128"/>
      <c r="E23" s="128"/>
      <c r="F23" s="128"/>
      <c r="G23" s="150"/>
      <c r="H23" s="128"/>
    </row>
    <row r="24" spans="1:9">
      <c r="C24" s="48"/>
      <c r="E24" s="258"/>
      <c r="F24" s="258"/>
      <c r="G24" s="258"/>
    </row>
    <row r="25" spans="1:9">
      <c r="C25" s="48"/>
      <c r="E25" s="58"/>
      <c r="F25" s="58"/>
      <c r="G25" s="58"/>
    </row>
    <row r="26" spans="1:9">
      <c r="E26" s="147"/>
      <c r="F26" s="147"/>
      <c r="G26" s="147"/>
    </row>
    <row r="27" spans="1:9">
      <c r="E27" s="148"/>
      <c r="F27" s="148"/>
      <c r="G27" s="148"/>
    </row>
    <row r="28" spans="1:9">
      <c r="E28" s="147"/>
      <c r="F28" s="147"/>
      <c r="G28" s="147"/>
    </row>
    <row r="29" spans="1:9">
      <c r="E29" s="147"/>
      <c r="F29" s="147"/>
      <c r="G29" s="147"/>
    </row>
    <row r="30" spans="1:9">
      <c r="E30" s="147"/>
      <c r="F30" s="147"/>
      <c r="G30" s="147"/>
    </row>
    <row r="31" spans="1:9">
      <c r="E31" s="148"/>
      <c r="F31" s="148"/>
      <c r="G31" s="148"/>
    </row>
    <row r="32" spans="1:9">
      <c r="E32" s="148"/>
      <c r="F32" s="148"/>
      <c r="G32" s="148"/>
    </row>
    <row r="33" spans="5:7">
      <c r="E33" s="148"/>
      <c r="F33" s="148"/>
      <c r="G33" s="148"/>
    </row>
    <row r="52" spans="4:9" ht="15.75">
      <c r="D52" s="360"/>
      <c r="E52" s="360"/>
      <c r="F52" s="360"/>
      <c r="G52" s="360"/>
      <c r="H52" s="360"/>
      <c r="I52" s="360"/>
    </row>
    <row r="53" spans="4:9" ht="30" customHeight="1">
      <c r="D53" s="411"/>
      <c r="E53" s="411"/>
      <c r="F53" s="411"/>
      <c r="G53" s="411"/>
      <c r="H53" s="411"/>
      <c r="I53" s="411"/>
    </row>
    <row r="58" spans="4:9">
      <c r="D58" s="417"/>
      <c r="E58" s="417"/>
      <c r="F58" s="417"/>
      <c r="G58" s="417"/>
      <c r="H58" s="417"/>
      <c r="I58" s="417"/>
    </row>
  </sheetData>
  <mergeCells count="12">
    <mergeCell ref="A1:A10"/>
    <mergeCell ref="C1:I1"/>
    <mergeCell ref="C2:I2"/>
    <mergeCell ref="H3:H4"/>
    <mergeCell ref="I3:I4"/>
    <mergeCell ref="C3:C4"/>
    <mergeCell ref="D3:D4"/>
    <mergeCell ref="D58:I58"/>
    <mergeCell ref="D52:I52"/>
    <mergeCell ref="D53:I53"/>
    <mergeCell ref="H20:I20"/>
    <mergeCell ref="C20:D20"/>
  </mergeCells>
  <phoneticPr fontId="2" type="noConversion"/>
  <printOptions horizontalCentered="1" verticalCentered="1"/>
  <pageMargins left="0.196850393700787" right="0.196850393700787" top="0.33" bottom="0.34" header="0.2" footer="0.2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P31"/>
  <sheetViews>
    <sheetView rightToLeft="1" topLeftCell="E1" zoomScale="90" zoomScaleNormal="90" zoomScaleSheetLayoutView="100" workbookViewId="0">
      <selection activeCell="A8" sqref="A8"/>
    </sheetView>
  </sheetViews>
  <sheetFormatPr defaultRowHeight="12.75"/>
  <cols>
    <col min="2" max="2" width="3.7109375" bestFit="1" customWidth="1"/>
    <col min="3" max="3" width="5.42578125" customWidth="1"/>
    <col min="4" max="4" width="43.28515625" customWidth="1"/>
    <col min="5" max="7" width="16.85546875" customWidth="1"/>
    <col min="8" max="8" width="39.28515625" customWidth="1"/>
    <col min="9" max="9" width="14.7109375" bestFit="1" customWidth="1"/>
    <col min="10" max="10" width="30.85546875" customWidth="1"/>
    <col min="11" max="11" width="20.5703125" customWidth="1"/>
    <col min="12" max="12" width="12.5703125" bestFit="1" customWidth="1"/>
    <col min="14" max="14" width="15.5703125" bestFit="1" customWidth="1"/>
  </cols>
  <sheetData>
    <row r="1" spans="2:16">
      <c r="B1" s="160"/>
    </row>
    <row r="2" spans="2:16" ht="24" customHeight="1">
      <c r="B2" s="353" t="s">
        <v>201</v>
      </c>
      <c r="D2" s="350"/>
      <c r="E2" s="350"/>
      <c r="F2" s="350"/>
      <c r="G2" s="350"/>
      <c r="H2" s="350"/>
      <c r="I2" s="14"/>
      <c r="J2" s="14"/>
      <c r="K2" s="14"/>
    </row>
    <row r="3" spans="2:16" ht="45" customHeight="1">
      <c r="B3" s="353"/>
      <c r="D3" s="351" t="s">
        <v>282</v>
      </c>
      <c r="E3" s="351"/>
      <c r="F3" s="351"/>
      <c r="G3" s="351"/>
      <c r="H3" s="351"/>
      <c r="I3" s="16"/>
      <c r="J3" s="16"/>
      <c r="K3" s="16"/>
    </row>
    <row r="4" spans="2:16" ht="45" customHeight="1" thickBot="1">
      <c r="B4" s="353"/>
      <c r="D4" s="352" t="s">
        <v>283</v>
      </c>
      <c r="E4" s="352"/>
      <c r="F4" s="352"/>
      <c r="G4" s="352"/>
      <c r="H4" s="352"/>
      <c r="I4" s="16"/>
      <c r="J4" s="16"/>
      <c r="K4" s="16"/>
    </row>
    <row r="5" spans="2:16" ht="51" customHeight="1" thickTop="1" thickBot="1">
      <c r="B5" s="353"/>
      <c r="D5" s="246" t="s">
        <v>30</v>
      </c>
      <c r="E5" s="246">
        <v>2017</v>
      </c>
      <c r="F5" s="246">
        <v>2018</v>
      </c>
      <c r="G5" s="247" t="s">
        <v>202</v>
      </c>
      <c r="H5" s="246" t="s">
        <v>31</v>
      </c>
    </row>
    <row r="6" spans="2:16" ht="48.75" customHeight="1">
      <c r="B6" s="353"/>
      <c r="D6" s="248" t="s">
        <v>277</v>
      </c>
      <c r="E6" s="333">
        <v>183436.2</v>
      </c>
      <c r="F6" s="333">
        <v>217753.9</v>
      </c>
      <c r="G6" s="294">
        <f t="shared" ref="G6:G12" si="0">((F6/E6)-1)*100</f>
        <v>18.708248426428355</v>
      </c>
      <c r="H6" s="249" t="s">
        <v>278</v>
      </c>
      <c r="J6" s="354" t="s">
        <v>276</v>
      </c>
      <c r="K6" s="354"/>
      <c r="L6" s="354"/>
      <c r="M6" s="354"/>
      <c r="N6" s="354"/>
      <c r="O6" s="354"/>
      <c r="P6" s="354"/>
    </row>
    <row r="7" spans="2:16" ht="48.75" customHeight="1">
      <c r="B7" s="353"/>
      <c r="D7" s="250" t="s">
        <v>165</v>
      </c>
      <c r="E7" s="334">
        <v>4939.1000000000004</v>
      </c>
      <c r="F7" s="335">
        <v>5711.7</v>
      </c>
      <c r="G7" s="295">
        <f>((F7/E7)-1)*100</f>
        <v>15.642525966269138</v>
      </c>
      <c r="H7" s="46" t="s">
        <v>169</v>
      </c>
      <c r="J7" s="354" t="s">
        <v>210</v>
      </c>
      <c r="K7" s="354"/>
      <c r="L7" s="354"/>
      <c r="M7" s="354"/>
      <c r="N7" s="253"/>
    </row>
    <row r="8" spans="2:16" ht="48.75" customHeight="1">
      <c r="B8" s="353"/>
      <c r="D8" s="250" t="s">
        <v>166</v>
      </c>
      <c r="E8" s="334">
        <v>221665.7</v>
      </c>
      <c r="F8" s="335">
        <f>268918874/1000</f>
        <v>268918.87400000001</v>
      </c>
      <c r="G8" s="295">
        <f t="shared" si="0"/>
        <v>21.317314316107549</v>
      </c>
      <c r="H8" s="46" t="s">
        <v>170</v>
      </c>
      <c r="J8">
        <f>(E8/E9)*100</f>
        <v>118221.70666666668</v>
      </c>
      <c r="L8" s="54"/>
    </row>
    <row r="9" spans="2:16" ht="48.75" customHeight="1">
      <c r="B9" s="353"/>
      <c r="D9" s="250" t="s">
        <v>167</v>
      </c>
      <c r="E9" s="334">
        <v>187.5</v>
      </c>
      <c r="F9" s="335">
        <f>F8/1182</f>
        <v>227.51173773265651</v>
      </c>
      <c r="G9" s="295">
        <f t="shared" si="0"/>
        <v>21.339593457416804</v>
      </c>
      <c r="H9" s="46" t="s">
        <v>171</v>
      </c>
      <c r="I9" s="153"/>
      <c r="J9" t="s">
        <v>270</v>
      </c>
      <c r="K9" s="54">
        <v>29747175.100000001</v>
      </c>
      <c r="L9" s="54"/>
    </row>
    <row r="10" spans="2:16" ht="48.75" customHeight="1">
      <c r="B10" s="160"/>
      <c r="D10" s="250" t="s">
        <v>168</v>
      </c>
      <c r="E10" s="334">
        <v>5968.5</v>
      </c>
      <c r="F10" s="335">
        <f>(J13/38124182)*1000</f>
        <v>7053.7611534852067</v>
      </c>
      <c r="G10" s="295">
        <f>((F10/E10)-1)*100</f>
        <v>18.183147415350696</v>
      </c>
      <c r="H10" s="43" t="s">
        <v>172</v>
      </c>
      <c r="J10" t="s">
        <v>271</v>
      </c>
      <c r="K10" s="64">
        <v>-1754</v>
      </c>
      <c r="L10" s="64"/>
    </row>
    <row r="11" spans="2:16" ht="48.75" customHeight="1">
      <c r="B11" s="160"/>
      <c r="D11" s="250" t="s">
        <v>212</v>
      </c>
      <c r="E11" s="334">
        <v>5</v>
      </c>
      <c r="F11" s="335">
        <f>(F9/38124182)*1000000</f>
        <v>5.9676490300213265</v>
      </c>
      <c r="G11" s="295">
        <f>((F11/E11)-1)*100</f>
        <v>19.352980600426541</v>
      </c>
      <c r="H11" s="43" t="s">
        <v>173</v>
      </c>
      <c r="J11" t="s">
        <v>274</v>
      </c>
      <c r="K11" s="64">
        <v>1182</v>
      </c>
    </row>
    <row r="12" spans="2:16" ht="48.75" customHeight="1" thickBot="1">
      <c r="B12" s="160"/>
      <c r="D12" s="251" t="s">
        <v>198</v>
      </c>
      <c r="E12" s="336">
        <v>205130.1</v>
      </c>
      <c r="F12" s="337">
        <f>210532887.2/1000</f>
        <v>210532.8872</v>
      </c>
      <c r="G12" s="296">
        <f t="shared" si="0"/>
        <v>2.6338344299544403</v>
      </c>
      <c r="H12" s="252" t="s">
        <v>199</v>
      </c>
      <c r="J12" t="s">
        <v>275</v>
      </c>
      <c r="K12">
        <f>K10*K11</f>
        <v>-2073228</v>
      </c>
    </row>
    <row r="13" spans="2:16" ht="42.75" customHeight="1">
      <c r="B13" s="161">
        <v>6</v>
      </c>
      <c r="D13" s="110"/>
      <c r="E13" s="110"/>
      <c r="F13" s="110"/>
      <c r="G13" s="112"/>
      <c r="H13" s="113"/>
      <c r="J13">
        <v>268918873.99999994</v>
      </c>
      <c r="K13" s="338">
        <f>J13-K9+K12-2264563+21609161</f>
        <v>256443068.89999995</v>
      </c>
    </row>
    <row r="14" spans="2:16" ht="32.25" customHeight="1">
      <c r="B14" s="160"/>
      <c r="E14" s="136"/>
      <c r="F14" s="136"/>
      <c r="G14" s="106"/>
      <c r="I14" s="6"/>
      <c r="K14">
        <f>J13-K9+K12-2264563+21609161</f>
        <v>256443068.89999995</v>
      </c>
    </row>
    <row r="15" spans="2:16">
      <c r="B15" s="160"/>
      <c r="E15" s="137"/>
      <c r="F15" s="137"/>
      <c r="I15" s="21"/>
    </row>
    <row r="16" spans="2:16">
      <c r="B16" s="160"/>
      <c r="E16" s="21"/>
      <c r="F16" s="21"/>
      <c r="H16" s="21"/>
      <c r="K16" s="339"/>
    </row>
    <row r="17" spans="2:10">
      <c r="B17" s="160"/>
      <c r="E17" s="21"/>
      <c r="F17" s="21"/>
      <c r="H17" s="6"/>
    </row>
    <row r="18" spans="2:10" ht="15.75">
      <c r="E18" s="21"/>
      <c r="F18" s="109"/>
      <c r="H18" s="6"/>
    </row>
    <row r="19" spans="2:10">
      <c r="G19" s="6"/>
      <c r="H19" s="105"/>
      <c r="I19" s="6"/>
    </row>
    <row r="20" spans="2:10">
      <c r="F20" s="105"/>
      <c r="G20" s="115"/>
      <c r="H20" s="105"/>
      <c r="I20" s="6"/>
    </row>
    <row r="21" spans="2:10">
      <c r="E21" s="114"/>
      <c r="F21" s="114"/>
      <c r="G21" s="21"/>
      <c r="H21" s="6"/>
      <c r="I21" s="259"/>
    </row>
    <row r="22" spans="2:10">
      <c r="E22" s="114"/>
      <c r="F22" s="114"/>
      <c r="G22" s="21"/>
      <c r="H22" s="105"/>
      <c r="J22" s="105"/>
    </row>
    <row r="23" spans="2:10">
      <c r="F23" s="114"/>
      <c r="G23" s="21"/>
      <c r="H23" s="105"/>
    </row>
    <row r="24" spans="2:10">
      <c r="F24" s="114"/>
      <c r="G24" s="6"/>
    </row>
    <row r="25" spans="2:10">
      <c r="F25" s="114"/>
      <c r="G25" s="6"/>
      <c r="J25" s="105"/>
    </row>
    <row r="26" spans="2:10">
      <c r="D26" s="105"/>
      <c r="E26" s="105"/>
      <c r="F26" s="105"/>
      <c r="G26" s="105"/>
    </row>
    <row r="27" spans="2:10">
      <c r="D27" s="105"/>
      <c r="E27" s="105"/>
      <c r="F27" s="105"/>
      <c r="G27" s="105"/>
    </row>
    <row r="28" spans="2:10">
      <c r="D28" s="105"/>
      <c r="E28" s="105"/>
      <c r="F28" s="105"/>
      <c r="G28" s="105"/>
    </row>
    <row r="29" spans="2:10">
      <c r="D29" s="105"/>
      <c r="E29" s="105"/>
      <c r="F29" s="105"/>
      <c r="G29" s="105"/>
    </row>
    <row r="30" spans="2:10">
      <c r="D30" s="105"/>
      <c r="E30" s="105"/>
      <c r="F30" s="105"/>
      <c r="G30" s="105"/>
    </row>
    <row r="31" spans="2:10">
      <c r="D31" s="105"/>
      <c r="E31" s="105"/>
      <c r="F31" s="105"/>
      <c r="G31" s="105"/>
    </row>
  </sheetData>
  <mergeCells count="6">
    <mergeCell ref="D2:H2"/>
    <mergeCell ref="D3:H3"/>
    <mergeCell ref="D4:H4"/>
    <mergeCell ref="B2:B9"/>
    <mergeCell ref="J7:M7"/>
    <mergeCell ref="J6:P6"/>
  </mergeCells>
  <printOptions horizontalCentered="1" verticalCentered="1"/>
  <pageMargins left="0.39" right="0.23622047244094499" top="0.196850393700787" bottom="0.23622047244094499" header="0.35433070866141703" footer="0.23622047244094499"/>
  <pageSetup scale="88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5"/>
  <sheetViews>
    <sheetView rightToLeft="1" view="pageBreakPreview" zoomScaleNormal="100" zoomScaleSheetLayoutView="100" workbookViewId="0">
      <selection activeCell="A8" sqref="A8"/>
    </sheetView>
  </sheetViews>
  <sheetFormatPr defaultRowHeight="12.75"/>
  <cols>
    <col min="1" max="1" width="4.7109375" customWidth="1"/>
    <col min="2" max="2" width="6.28515625" customWidth="1"/>
    <col min="3" max="3" width="24.7109375" bestFit="1" customWidth="1"/>
    <col min="4" max="4" width="19.28515625" customWidth="1"/>
    <col min="5" max="5" width="17.140625" customWidth="1"/>
    <col min="6" max="6" width="16.42578125" bestFit="1" customWidth="1"/>
    <col min="7" max="7" width="39.7109375" customWidth="1"/>
    <col min="8" max="8" width="19" customWidth="1"/>
    <col min="9" max="9" width="16.28515625" customWidth="1"/>
    <col min="10" max="10" width="31.28515625" customWidth="1"/>
    <col min="11" max="11" width="17.7109375" customWidth="1"/>
  </cols>
  <sheetData>
    <row r="1" spans="1:12" ht="5.25" customHeight="1"/>
    <row r="2" spans="1:12" ht="39.75" customHeight="1">
      <c r="A2" s="353" t="s">
        <v>201</v>
      </c>
      <c r="C2" s="110"/>
      <c r="D2" s="111"/>
      <c r="E2" s="112"/>
      <c r="F2" s="112"/>
      <c r="G2" s="113"/>
      <c r="H2" s="113"/>
      <c r="I2" s="55"/>
    </row>
    <row r="3" spans="1:12" ht="41.25" customHeight="1">
      <c r="A3" s="353"/>
      <c r="C3" s="355" t="s">
        <v>284</v>
      </c>
      <c r="D3" s="355"/>
      <c r="E3" s="356"/>
      <c r="F3" s="356"/>
      <c r="G3" s="355"/>
      <c r="H3" s="264"/>
      <c r="I3" s="54"/>
    </row>
    <row r="4" spans="1:12" ht="41.25" customHeight="1" thickBot="1">
      <c r="A4" s="353"/>
      <c r="C4" s="357" t="s">
        <v>285</v>
      </c>
      <c r="D4" s="357"/>
      <c r="E4" s="358"/>
      <c r="F4" s="358"/>
      <c r="G4" s="357"/>
      <c r="H4" s="264"/>
      <c r="I4" s="54"/>
    </row>
    <row r="5" spans="1:12" ht="53.25" customHeight="1" thickTop="1" thickBot="1">
      <c r="A5" s="353"/>
      <c r="C5" s="231" t="s">
        <v>30</v>
      </c>
      <c r="D5" s="232">
        <v>2017</v>
      </c>
      <c r="E5" s="233">
        <v>2018</v>
      </c>
      <c r="F5" s="234" t="s">
        <v>203</v>
      </c>
      <c r="G5" s="233" t="s">
        <v>31</v>
      </c>
      <c r="H5" s="272"/>
      <c r="I5" s="273"/>
      <c r="J5" s="6"/>
      <c r="K5" s="6"/>
      <c r="L5" s="6"/>
    </row>
    <row r="6" spans="1:12" ht="53.25" customHeight="1">
      <c r="A6" s="353"/>
      <c r="C6" s="45" t="s">
        <v>32</v>
      </c>
      <c r="D6" s="235">
        <v>66617.100000000006</v>
      </c>
      <c r="E6" s="254">
        <f>70604373/1000</f>
        <v>70604.373000000007</v>
      </c>
      <c r="F6" s="220">
        <f t="shared" ref="F6:F11" si="0">((E6/D6)-1)*100</f>
        <v>5.9853596148736532</v>
      </c>
      <c r="G6" s="221" t="s">
        <v>33</v>
      </c>
    </row>
    <row r="7" spans="1:12" ht="53.25" customHeight="1">
      <c r="A7" s="353"/>
      <c r="C7" s="41" t="s">
        <v>34</v>
      </c>
      <c r="D7" s="236">
        <v>132566.6</v>
      </c>
      <c r="E7" s="222">
        <v>168567.32500000001</v>
      </c>
      <c r="F7" s="237">
        <f t="shared" si="0"/>
        <v>27.156708401663778</v>
      </c>
      <c r="G7" s="224" t="s">
        <v>35</v>
      </c>
    </row>
    <row r="8" spans="1:12" ht="53.25" customHeight="1">
      <c r="A8" s="353"/>
      <c r="C8" s="41" t="s">
        <v>36</v>
      </c>
      <c r="D8" s="236">
        <v>22482</v>
      </c>
      <c r="E8" s="222">
        <v>29747.200000000001</v>
      </c>
      <c r="F8" s="237">
        <f t="shared" si="0"/>
        <v>32.315630282003397</v>
      </c>
      <c r="G8" s="224" t="s">
        <v>37</v>
      </c>
      <c r="H8" s="105">
        <v>70604373</v>
      </c>
      <c r="I8" s="105"/>
    </row>
    <row r="9" spans="1:12" ht="53.25" customHeight="1">
      <c r="A9" s="353"/>
      <c r="C9" s="41" t="s">
        <v>38</v>
      </c>
      <c r="D9" s="236">
        <v>2557.4</v>
      </c>
      <c r="E9" s="222">
        <v>2264.6</v>
      </c>
      <c r="F9" s="237">
        <f t="shared" si="0"/>
        <v>-11.449128020645972</v>
      </c>
      <c r="G9" s="224" t="s">
        <v>39</v>
      </c>
      <c r="H9" s="105">
        <v>29747175.100000001</v>
      </c>
      <c r="I9" t="s">
        <v>273</v>
      </c>
    </row>
    <row r="10" spans="1:12" ht="53.25" customHeight="1" thickBot="1">
      <c r="A10" s="160"/>
      <c r="C10" s="238" t="s">
        <v>40</v>
      </c>
      <c r="D10" s="239">
        <v>16602</v>
      </c>
      <c r="E10" s="239">
        <v>21609.200000000001</v>
      </c>
      <c r="F10" s="240">
        <f t="shared" si="0"/>
        <v>30.160221660040953</v>
      </c>
      <c r="G10" s="241" t="s">
        <v>41</v>
      </c>
      <c r="H10" s="105">
        <v>168567325.90000001</v>
      </c>
      <c r="I10" t="s">
        <v>272</v>
      </c>
    </row>
    <row r="11" spans="1:12" ht="53.25" customHeight="1" thickBot="1">
      <c r="A11" s="161">
        <v>7</v>
      </c>
      <c r="C11" s="242" t="s">
        <v>42</v>
      </c>
      <c r="D11" s="243">
        <f>D6+D7+D8+D9-D10</f>
        <v>207621.1</v>
      </c>
      <c r="E11" s="255">
        <f>E6+E7+E8+E9-E10</f>
        <v>249574.29800000001</v>
      </c>
      <c r="F11" s="244">
        <f t="shared" si="0"/>
        <v>20.206615801573147</v>
      </c>
      <c r="G11" s="245" t="s">
        <v>43</v>
      </c>
      <c r="H11" s="332">
        <f>SUM(H9:H10)</f>
        <v>198314501</v>
      </c>
      <c r="I11" s="54"/>
      <c r="J11" s="256"/>
      <c r="K11" s="257"/>
    </row>
    <row r="12" spans="1:12" ht="32.25" customHeight="1">
      <c r="A12" s="160"/>
      <c r="C12" s="265"/>
      <c r="D12" s="154"/>
      <c r="E12" s="154"/>
      <c r="F12" s="155"/>
      <c r="G12" s="266"/>
      <c r="H12" s="269"/>
      <c r="I12" s="55"/>
    </row>
    <row r="13" spans="1:12" ht="32.25" customHeight="1">
      <c r="A13" s="160"/>
      <c r="C13" s="267"/>
      <c r="D13" s="105"/>
      <c r="E13" s="105">
        <f>E7+E8</f>
        <v>198314.52500000002</v>
      </c>
      <c r="F13" s="268"/>
      <c r="G13" s="269"/>
      <c r="H13" s="269"/>
      <c r="I13" s="54"/>
    </row>
    <row r="14" spans="1:12" ht="32.25" customHeight="1">
      <c r="A14" s="160"/>
      <c r="C14" s="267"/>
      <c r="E14" s="105">
        <f>E9-E10</f>
        <v>-19344.600000000002</v>
      </c>
      <c r="F14" s="101"/>
      <c r="G14" s="269"/>
      <c r="H14" s="269"/>
      <c r="I14" s="55"/>
    </row>
    <row r="15" spans="1:12" ht="32.25" customHeight="1">
      <c r="A15" s="160"/>
      <c r="C15" s="267"/>
      <c r="D15" s="271"/>
      <c r="E15" s="101"/>
      <c r="F15" s="101"/>
      <c r="G15" s="269"/>
      <c r="H15" s="269"/>
      <c r="I15" s="55"/>
    </row>
    <row r="16" spans="1:12" ht="32.25" customHeight="1">
      <c r="A16" s="160"/>
      <c r="C16" s="267"/>
      <c r="D16" s="121"/>
      <c r="E16" s="268"/>
      <c r="F16" s="268"/>
      <c r="G16" s="269"/>
      <c r="H16" s="269"/>
      <c r="I16" s="55"/>
    </row>
    <row r="17" spans="1:9" ht="32.25" customHeight="1">
      <c r="A17" s="160"/>
      <c r="C17" s="267"/>
      <c r="D17" s="121"/>
      <c r="E17" s="268"/>
      <c r="F17" s="268"/>
      <c r="G17" s="269"/>
      <c r="H17" s="269"/>
      <c r="I17" s="55"/>
    </row>
    <row r="18" spans="1:9" ht="28.5" customHeight="1">
      <c r="A18" s="161">
        <v>6</v>
      </c>
      <c r="C18" s="267"/>
      <c r="D18" s="121"/>
      <c r="E18" s="121"/>
      <c r="F18" s="121"/>
      <c r="G18" s="269"/>
      <c r="H18" s="269"/>
      <c r="I18" s="54"/>
    </row>
    <row r="19" spans="1:9">
      <c r="A19" s="161"/>
      <c r="C19" s="270"/>
      <c r="D19" s="270"/>
      <c r="E19" s="21"/>
      <c r="F19" s="6"/>
      <c r="G19" s="6"/>
      <c r="H19" s="6"/>
    </row>
    <row r="20" spans="1:9">
      <c r="A20" s="160"/>
      <c r="C20" s="6"/>
      <c r="D20" s="114"/>
      <c r="E20" s="21"/>
      <c r="F20" s="6"/>
      <c r="G20" s="6"/>
      <c r="H20" s="6"/>
    </row>
    <row r="21" spans="1:9" ht="15.75">
      <c r="D21" s="114"/>
      <c r="E21" s="109"/>
      <c r="F21" s="105"/>
    </row>
    <row r="22" spans="1:9">
      <c r="D22" s="114"/>
      <c r="E22" s="6"/>
    </row>
    <row r="23" spans="1:9">
      <c r="C23" s="105"/>
      <c r="D23" s="105"/>
      <c r="E23" s="105"/>
    </row>
    <row r="24" spans="1:9">
      <c r="D24" s="105"/>
      <c r="E24" s="105"/>
    </row>
    <row r="28" spans="1:9">
      <c r="E28" s="105"/>
    </row>
    <row r="29" spans="1:9">
      <c r="E29" s="105"/>
    </row>
    <row r="35" spans="5:5">
      <c r="E35" s="105"/>
    </row>
  </sheetData>
  <mergeCells count="3">
    <mergeCell ref="A2:A9"/>
    <mergeCell ref="C3:G3"/>
    <mergeCell ref="C4:G4"/>
  </mergeCells>
  <printOptions horizontalCentered="1" verticalCentered="1"/>
  <pageMargins left="0.196850393700787" right="0.24" top="0.3" bottom="0.23622047244094499" header="0.42" footer="0.23622047244094499"/>
  <pageSetup scale="10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9"/>
  <sheetViews>
    <sheetView rightToLeft="1" view="pageBreakPreview" topLeftCell="A10" zoomScale="120" zoomScaleSheetLayoutView="120" workbookViewId="0">
      <selection activeCell="A8" sqref="A8"/>
    </sheetView>
  </sheetViews>
  <sheetFormatPr defaultRowHeight="12.75"/>
  <cols>
    <col min="1" max="1" width="17.28515625" customWidth="1"/>
    <col min="2" max="2" width="17.140625" customWidth="1"/>
    <col min="3" max="3" width="15.42578125" customWidth="1"/>
    <col min="4" max="4" width="33.28515625" customWidth="1"/>
    <col min="6" max="8" width="15" customWidth="1"/>
  </cols>
  <sheetData>
    <row r="1" spans="1:8" ht="45.75" customHeight="1">
      <c r="A1" s="359" t="s">
        <v>254</v>
      </c>
      <c r="B1" s="360"/>
      <c r="C1" s="360"/>
      <c r="D1" s="360"/>
    </row>
    <row r="2" spans="1:8" ht="63" customHeight="1" thickBot="1">
      <c r="A2" s="352" t="s">
        <v>255</v>
      </c>
      <c r="B2" s="361"/>
      <c r="C2" s="361"/>
      <c r="D2" s="361"/>
    </row>
    <row r="3" spans="1:8" ht="26.25" customHeight="1" thickTop="1">
      <c r="A3" s="364" t="s">
        <v>45</v>
      </c>
      <c r="B3" s="362">
        <v>2018</v>
      </c>
      <c r="C3" s="192" t="s">
        <v>91</v>
      </c>
      <c r="D3" s="366" t="s">
        <v>46</v>
      </c>
    </row>
    <row r="4" spans="1:8" ht="30" customHeight="1" thickBot="1">
      <c r="A4" s="365"/>
      <c r="B4" s="363"/>
      <c r="C4" s="193" t="s">
        <v>92</v>
      </c>
      <c r="D4" s="367"/>
    </row>
    <row r="5" spans="1:8" ht="24" customHeight="1">
      <c r="A5" s="45" t="s">
        <v>75</v>
      </c>
      <c r="B5" s="219">
        <f>'9'!E12/1000</f>
        <v>153245.46519999995</v>
      </c>
      <c r="C5" s="220">
        <f>(B5/B8)*100</f>
        <v>56.322873714878426</v>
      </c>
      <c r="D5" s="221" t="s">
        <v>79</v>
      </c>
      <c r="F5" s="263">
        <v>153245465.19999996</v>
      </c>
      <c r="G5" s="263"/>
      <c r="H5" s="263"/>
    </row>
    <row r="6" spans="1:8" ht="24" customHeight="1">
      <c r="A6" s="41" t="s">
        <v>76</v>
      </c>
      <c r="B6" s="222">
        <f>'9'!E16/1000</f>
        <v>54939.149699999994</v>
      </c>
      <c r="C6" s="223">
        <f>(B6/B8)*100</f>
        <v>20.191989280188512</v>
      </c>
      <c r="D6" s="224" t="s">
        <v>80</v>
      </c>
      <c r="F6" s="263"/>
      <c r="G6" s="263"/>
      <c r="H6" s="263"/>
    </row>
    <row r="7" spans="1:8" ht="24" customHeight="1" thickBot="1">
      <c r="A7" s="42" t="s">
        <v>77</v>
      </c>
      <c r="B7" s="222">
        <f>'9'!E21/1000</f>
        <v>63899.274099999995</v>
      </c>
      <c r="C7" s="225">
        <f>(B7/B8)*100</f>
        <v>23.485137004933069</v>
      </c>
      <c r="D7" s="226" t="s">
        <v>81</v>
      </c>
      <c r="F7" s="262"/>
      <c r="G7" s="263"/>
      <c r="H7" s="262"/>
    </row>
    <row r="8" spans="1:8" ht="24" customHeight="1" thickBot="1">
      <c r="A8" s="227" t="s">
        <v>78</v>
      </c>
      <c r="B8" s="228">
        <f>B5+B6+B7</f>
        <v>272083.88899999991</v>
      </c>
      <c r="C8" s="229">
        <f>SUM(C5:C7)</f>
        <v>100</v>
      </c>
      <c r="D8" s="230" t="s">
        <v>82</v>
      </c>
      <c r="F8" s="54"/>
    </row>
    <row r="9" spans="1:8" ht="24" customHeight="1" thickTop="1">
      <c r="A9" s="57"/>
      <c r="B9" s="51"/>
      <c r="C9" s="191"/>
      <c r="D9" s="52"/>
      <c r="F9" s="54"/>
    </row>
    <row r="10" spans="1:8" ht="15" customHeight="1">
      <c r="A10" s="57"/>
      <c r="B10" s="51"/>
      <c r="C10" s="51"/>
      <c r="D10" s="52"/>
      <c r="F10" s="54"/>
    </row>
    <row r="11" spans="1:8" ht="15" customHeight="1">
      <c r="A11" s="15"/>
      <c r="B11" s="53"/>
      <c r="C11" s="15"/>
      <c r="D11" s="15"/>
      <c r="F11" s="54"/>
    </row>
    <row r="12" spans="1:8" ht="15" customHeight="1">
      <c r="A12" s="15"/>
      <c r="B12" s="53"/>
      <c r="C12" s="15"/>
      <c r="D12" s="15"/>
      <c r="F12" s="54"/>
    </row>
    <row r="13" spans="1:8" ht="15" customHeight="1">
      <c r="A13" s="15"/>
      <c r="B13" s="53"/>
      <c r="C13" s="15"/>
      <c r="D13" s="15"/>
      <c r="F13" s="54"/>
    </row>
    <row r="14" spans="1:8" ht="15" customHeight="1">
      <c r="A14" s="15"/>
      <c r="B14" s="53"/>
      <c r="C14" s="15"/>
      <c r="D14" s="15"/>
      <c r="F14" s="54"/>
    </row>
    <row r="15" spans="1:8" ht="15" customHeight="1">
      <c r="A15" s="15"/>
      <c r="B15" s="53"/>
      <c r="C15" s="15"/>
      <c r="D15" s="15"/>
      <c r="F15" s="54"/>
    </row>
    <row r="16" spans="1:8" ht="15" customHeight="1">
      <c r="A16" s="15"/>
      <c r="B16" s="53"/>
      <c r="C16" s="15"/>
      <c r="D16" s="15"/>
      <c r="F16" s="54"/>
    </row>
    <row r="17" spans="1:6" ht="15" customHeight="1">
      <c r="A17" s="15"/>
      <c r="B17" s="15"/>
      <c r="C17" s="15"/>
      <c r="D17" s="15"/>
    </row>
    <row r="18" spans="1:6" ht="15" customHeight="1">
      <c r="A18" s="15"/>
      <c r="B18" s="15"/>
      <c r="C18" s="15"/>
      <c r="D18" s="15"/>
    </row>
    <row r="19" spans="1:6" ht="15" customHeight="1">
      <c r="A19" s="15"/>
      <c r="B19" s="15"/>
      <c r="C19" s="15"/>
      <c r="D19" s="15"/>
    </row>
    <row r="20" spans="1:6" ht="15" customHeight="1">
      <c r="A20" s="15"/>
      <c r="B20" s="15"/>
      <c r="C20" s="15"/>
      <c r="D20" s="15"/>
    </row>
    <row r="21" spans="1:6" ht="15" customHeight="1">
      <c r="A21" s="15"/>
      <c r="B21" s="15"/>
      <c r="C21" s="15"/>
      <c r="D21" s="15"/>
    </row>
    <row r="22" spans="1:6" ht="15" customHeight="1">
      <c r="A22" s="15"/>
      <c r="B22" s="15"/>
      <c r="C22" s="15"/>
      <c r="D22" s="15"/>
    </row>
    <row r="23" spans="1:6" ht="15" customHeight="1">
      <c r="A23" s="15"/>
      <c r="B23" s="15"/>
      <c r="C23" s="15"/>
      <c r="D23" s="15"/>
      <c r="F23" s="139"/>
    </row>
    <row r="24" spans="1:6" ht="15" customHeight="1"/>
    <row r="25" spans="1:6" ht="15" customHeight="1"/>
    <row r="26" spans="1:6" ht="15" customHeight="1"/>
    <row r="27" spans="1:6" ht="18" customHeight="1"/>
    <row r="28" spans="1:6" ht="18" customHeight="1"/>
    <row r="29" spans="1:6" ht="18" customHeight="1"/>
    <row r="30" spans="1:6" ht="18" customHeight="1"/>
    <row r="31" spans="1:6" ht="18" customHeight="1"/>
    <row r="32" spans="1:6" ht="18" customHeight="1"/>
    <row r="33" spans="1:4" ht="18" customHeight="1">
      <c r="A33" s="138"/>
      <c r="B33" s="138"/>
      <c r="C33" s="138"/>
      <c r="D33" s="138"/>
    </row>
    <row r="34" spans="1:4" ht="18" customHeight="1">
      <c r="A34" s="77"/>
      <c r="B34" s="77"/>
      <c r="C34" s="77"/>
      <c r="D34" s="77"/>
    </row>
    <row r="35" spans="1:4" ht="12.75" customHeight="1"/>
    <row r="36" spans="1:4" ht="12.75" customHeight="1"/>
    <row r="37" spans="1:4" ht="12.75" customHeight="1"/>
    <row r="38" spans="1:4" ht="9.75" customHeight="1"/>
    <row r="39" spans="1:4" ht="15" customHeight="1">
      <c r="A39" s="162" t="s">
        <v>201</v>
      </c>
      <c r="B39" s="163"/>
      <c r="C39" s="163"/>
      <c r="D39" s="164">
        <v>8</v>
      </c>
    </row>
  </sheetData>
  <mergeCells count="5">
    <mergeCell ref="A1:D1"/>
    <mergeCell ref="A2:D2"/>
    <mergeCell ref="B3:B4"/>
    <mergeCell ref="A3:A4"/>
    <mergeCell ref="D3:D4"/>
  </mergeCells>
  <phoneticPr fontId="2" type="noConversion"/>
  <printOptions horizontalCentered="1"/>
  <pageMargins left="0.31" right="0.56999999999999995" top="0.43" bottom="0.35" header="0.19" footer="0.24"/>
  <pageSetup paperSize="9" scale="10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M29"/>
  <sheetViews>
    <sheetView rightToLeft="1" view="pageBreakPreview" topLeftCell="A10" zoomScale="80" zoomScaleNormal="80" zoomScaleSheetLayoutView="80" workbookViewId="0">
      <selection sqref="A1:A8"/>
    </sheetView>
  </sheetViews>
  <sheetFormatPr defaultRowHeight="12.75"/>
  <cols>
    <col min="1" max="1" width="5.28515625" style="1" customWidth="1"/>
    <col min="2" max="2" width="3.42578125" style="1" customWidth="1"/>
    <col min="3" max="3" width="6.140625" style="1" customWidth="1"/>
    <col min="4" max="4" width="35.7109375" style="1" customWidth="1"/>
    <col min="5" max="5" width="16.85546875" style="1" customWidth="1"/>
    <col min="6" max="6" width="9" style="1" customWidth="1"/>
    <col min="7" max="7" width="16.85546875" style="1" customWidth="1"/>
    <col min="8" max="8" width="9" style="1" customWidth="1"/>
    <col min="9" max="9" width="41.140625" style="1" customWidth="1"/>
    <col min="10" max="10" width="6.42578125" style="1" customWidth="1"/>
    <col min="11" max="11" width="18.5703125" style="1" customWidth="1"/>
    <col min="12" max="12" width="15.140625" style="1" bestFit="1" customWidth="1"/>
    <col min="13" max="14" width="9.140625" style="1"/>
    <col min="15" max="15" width="21.7109375" style="1" customWidth="1"/>
    <col min="16" max="16384" width="9.140625" style="1"/>
  </cols>
  <sheetData>
    <row r="1" spans="1:12" s="91" customFormat="1" ht="34.5" customHeight="1">
      <c r="A1" s="353" t="s">
        <v>201</v>
      </c>
      <c r="C1" s="381" t="s">
        <v>252</v>
      </c>
      <c r="D1" s="381"/>
      <c r="E1" s="381"/>
      <c r="F1" s="381"/>
      <c r="G1" s="381"/>
      <c r="H1" s="381"/>
      <c r="I1" s="381"/>
      <c r="J1" s="381"/>
    </row>
    <row r="2" spans="1:12" s="91" customFormat="1" ht="33" customHeight="1" thickBot="1">
      <c r="A2" s="353"/>
      <c r="C2" s="382" t="s">
        <v>253</v>
      </c>
      <c r="D2" s="382"/>
      <c r="E2" s="382"/>
      <c r="F2" s="382"/>
      <c r="G2" s="382"/>
      <c r="H2" s="382"/>
      <c r="I2" s="382"/>
      <c r="J2" s="382"/>
    </row>
    <row r="3" spans="1:12" ht="30.75" customHeight="1" thickTop="1" thickBot="1">
      <c r="A3" s="353"/>
      <c r="C3" s="362" t="s">
        <v>44</v>
      </c>
      <c r="D3" s="362" t="s">
        <v>180</v>
      </c>
      <c r="E3" s="118" t="s">
        <v>83</v>
      </c>
      <c r="F3" s="118" t="s">
        <v>91</v>
      </c>
      <c r="G3" s="122" t="s">
        <v>195</v>
      </c>
      <c r="H3" s="122" t="s">
        <v>91</v>
      </c>
      <c r="I3" s="383" t="s">
        <v>97</v>
      </c>
      <c r="J3" s="383" t="s">
        <v>98</v>
      </c>
    </row>
    <row r="4" spans="1:12" ht="49.5" customHeight="1" thickBot="1">
      <c r="A4" s="353"/>
      <c r="C4" s="363"/>
      <c r="D4" s="363"/>
      <c r="E4" s="116" t="s">
        <v>95</v>
      </c>
      <c r="F4" s="117" t="s">
        <v>94</v>
      </c>
      <c r="G4" s="117" t="s">
        <v>197</v>
      </c>
      <c r="H4" s="117" t="s">
        <v>196</v>
      </c>
      <c r="I4" s="384"/>
      <c r="J4" s="384"/>
    </row>
    <row r="5" spans="1:12" ht="21.95" customHeight="1">
      <c r="A5" s="353"/>
      <c r="C5" s="9" t="s">
        <v>99</v>
      </c>
      <c r="D5" s="303" t="s">
        <v>179</v>
      </c>
      <c r="E5" s="131">
        <v>7220904</v>
      </c>
      <c r="F5" s="178">
        <v>2.65</v>
      </c>
      <c r="G5" s="189">
        <v>4999402.7</v>
      </c>
      <c r="H5" s="277">
        <v>2.36</v>
      </c>
      <c r="I5" s="82" t="s">
        <v>100</v>
      </c>
      <c r="J5" s="65" t="s">
        <v>101</v>
      </c>
    </row>
    <row r="6" spans="1:12" ht="21.95" customHeight="1">
      <c r="A6" s="353"/>
      <c r="C6" s="11" t="s">
        <v>102</v>
      </c>
      <c r="D6" s="83" t="s">
        <v>103</v>
      </c>
      <c r="E6" s="132">
        <v>351361.1</v>
      </c>
      <c r="F6" s="278">
        <v>0.13</v>
      </c>
      <c r="G6" s="304">
        <v>318839.59999999998</v>
      </c>
      <c r="H6" s="277">
        <v>0.15</v>
      </c>
      <c r="I6" s="84" t="s">
        <v>104</v>
      </c>
      <c r="J6" s="66" t="s">
        <v>105</v>
      </c>
      <c r="K6" s="103"/>
    </row>
    <row r="7" spans="1:12" ht="21.95" customHeight="1">
      <c r="A7" s="353"/>
      <c r="C7" s="11" t="s">
        <v>106</v>
      </c>
      <c r="D7" s="83" t="s">
        <v>50</v>
      </c>
      <c r="E7" s="132">
        <f>E8+E9</f>
        <v>120616218.19999999</v>
      </c>
      <c r="F7" s="278">
        <f>F8+F9</f>
        <v>44.33</v>
      </c>
      <c r="G7" s="189">
        <f>G8+G9</f>
        <v>128159524.8</v>
      </c>
      <c r="H7" s="277">
        <f>H8+H9</f>
        <v>60.38</v>
      </c>
      <c r="I7" s="84" t="s">
        <v>51</v>
      </c>
      <c r="J7" s="66" t="s">
        <v>107</v>
      </c>
    </row>
    <row r="8" spans="1:12" ht="21.95" customHeight="1">
      <c r="A8" s="353"/>
      <c r="C8" s="11"/>
      <c r="D8" s="83" t="s">
        <v>108</v>
      </c>
      <c r="E8" s="132">
        <v>120174322.09999999</v>
      </c>
      <c r="F8" s="278">
        <v>44.17</v>
      </c>
      <c r="G8" s="304">
        <v>127885395.7</v>
      </c>
      <c r="H8" s="277">
        <v>60.25</v>
      </c>
      <c r="I8" s="84" t="s">
        <v>109</v>
      </c>
      <c r="J8" s="66"/>
    </row>
    <row r="9" spans="1:12" ht="21.95" customHeight="1">
      <c r="A9" s="165"/>
      <c r="C9" s="11"/>
      <c r="D9" s="305" t="s">
        <v>110</v>
      </c>
      <c r="E9" s="132">
        <v>441896.1</v>
      </c>
      <c r="F9" s="278">
        <v>0.16</v>
      </c>
      <c r="G9" s="132">
        <v>274129.09999999998</v>
      </c>
      <c r="H9" s="277">
        <v>0.13</v>
      </c>
      <c r="I9" s="85" t="s">
        <v>111</v>
      </c>
      <c r="J9" s="66"/>
    </row>
    <row r="10" spans="1:12" s="102" customFormat="1" ht="21.95" customHeight="1">
      <c r="A10" s="166"/>
      <c r="C10" s="11" t="s">
        <v>112</v>
      </c>
      <c r="D10" s="83" t="s">
        <v>58</v>
      </c>
      <c r="E10" s="132">
        <v>5464371.5999999996</v>
      </c>
      <c r="F10" s="278">
        <v>2.0099999999999998</v>
      </c>
      <c r="G10" s="304">
        <v>2168401.4</v>
      </c>
      <c r="H10" s="277">
        <v>1.02</v>
      </c>
      <c r="I10" s="84" t="s">
        <v>59</v>
      </c>
      <c r="J10" s="66" t="s">
        <v>113</v>
      </c>
    </row>
    <row r="11" spans="1:12" ht="21.95" customHeight="1">
      <c r="A11" s="165"/>
      <c r="C11" s="11" t="s">
        <v>114</v>
      </c>
      <c r="D11" s="305" t="s">
        <v>115</v>
      </c>
      <c r="E11" s="132">
        <v>7150179.0999999996</v>
      </c>
      <c r="F11" s="278">
        <v>2.63</v>
      </c>
      <c r="G11" s="189">
        <v>2050524.5</v>
      </c>
      <c r="H11" s="277">
        <v>0.97</v>
      </c>
      <c r="I11" s="85" t="s">
        <v>116</v>
      </c>
      <c r="J11" s="66" t="s">
        <v>117</v>
      </c>
      <c r="L11" s="1">
        <f>8.14+0.87</f>
        <v>9.01</v>
      </c>
    </row>
    <row r="12" spans="1:12" s="102" customFormat="1" ht="21.95" customHeight="1">
      <c r="A12" s="166"/>
      <c r="C12" s="11" t="s">
        <v>118</v>
      </c>
      <c r="D12" s="83" t="s">
        <v>2</v>
      </c>
      <c r="E12" s="132">
        <v>12442431.199999999</v>
      </c>
      <c r="F12" s="278">
        <v>4.57</v>
      </c>
      <c r="G12" s="304">
        <v>8001563.5</v>
      </c>
      <c r="H12" s="277">
        <v>3.77</v>
      </c>
      <c r="I12" s="84" t="s">
        <v>119</v>
      </c>
      <c r="J12" s="66" t="s">
        <v>120</v>
      </c>
    </row>
    <row r="13" spans="1:12" s="102" customFormat="1" ht="37.5" customHeight="1">
      <c r="A13" s="166"/>
      <c r="C13" s="11" t="s">
        <v>121</v>
      </c>
      <c r="D13" s="83" t="s">
        <v>184</v>
      </c>
      <c r="E13" s="132">
        <v>22142971.199999999</v>
      </c>
      <c r="F13" s="278">
        <v>8.14</v>
      </c>
      <c r="G13" s="189">
        <v>16139191.800000001</v>
      </c>
      <c r="H13" s="277">
        <v>7.6</v>
      </c>
      <c r="I13" s="84" t="s">
        <v>122</v>
      </c>
      <c r="J13" s="66" t="s">
        <v>123</v>
      </c>
      <c r="L13" s="341">
        <f>H13+H14</f>
        <v>8.41</v>
      </c>
    </row>
    <row r="14" spans="1:12" s="102" customFormat="1" ht="21.95" customHeight="1">
      <c r="A14" s="166"/>
      <c r="C14" s="11" t="s">
        <v>124</v>
      </c>
      <c r="D14" s="83" t="s">
        <v>125</v>
      </c>
      <c r="E14" s="132">
        <v>2359068.5</v>
      </c>
      <c r="F14" s="278">
        <v>0.87</v>
      </c>
      <c r="G14" s="189">
        <v>1719437.7</v>
      </c>
      <c r="H14" s="277">
        <v>0.81</v>
      </c>
      <c r="I14" s="84" t="s">
        <v>126</v>
      </c>
      <c r="J14" s="66" t="s">
        <v>127</v>
      </c>
      <c r="K14" s="341"/>
    </row>
    <row r="15" spans="1:12" s="102" customFormat="1" ht="21.95" customHeight="1">
      <c r="A15" s="166"/>
      <c r="C15" s="11" t="s">
        <v>128</v>
      </c>
      <c r="D15" s="12" t="s">
        <v>286</v>
      </c>
      <c r="E15" s="132">
        <v>25467232.199999999</v>
      </c>
      <c r="F15" s="278">
        <v>9.36</v>
      </c>
      <c r="G15" s="306">
        <v>17092102.100000001</v>
      </c>
      <c r="H15" s="307">
        <v>8.0500000000000007</v>
      </c>
      <c r="I15" s="84" t="s">
        <v>129</v>
      </c>
      <c r="J15" s="66" t="s">
        <v>130</v>
      </c>
      <c r="K15" s="297"/>
    </row>
    <row r="16" spans="1:12" s="102" customFormat="1" ht="21.95" customHeight="1">
      <c r="A16" s="166"/>
      <c r="C16" s="11" t="s">
        <v>131</v>
      </c>
      <c r="D16" s="83" t="s">
        <v>191</v>
      </c>
      <c r="E16" s="132">
        <f>4969878-390119</f>
        <v>4579759</v>
      </c>
      <c r="F16" s="278">
        <v>1.68</v>
      </c>
      <c r="G16" s="189">
        <v>2549481.9999999981</v>
      </c>
      <c r="H16" s="277">
        <v>1.2</v>
      </c>
      <c r="I16" s="84" t="s">
        <v>132</v>
      </c>
      <c r="J16" s="66" t="s">
        <v>133</v>
      </c>
    </row>
    <row r="17" spans="1:13" s="102" customFormat="1" ht="24.75" customHeight="1">
      <c r="A17" s="166"/>
      <c r="C17" s="11" t="s">
        <v>134</v>
      </c>
      <c r="D17" s="83" t="s">
        <v>181</v>
      </c>
      <c r="E17" s="132">
        <v>16706014.699999999</v>
      </c>
      <c r="F17" s="278">
        <v>6.14</v>
      </c>
      <c r="G17" s="304">
        <v>9059660.9000000004</v>
      </c>
      <c r="H17" s="277">
        <v>4.2699999999999996</v>
      </c>
      <c r="I17" s="84" t="s">
        <v>135</v>
      </c>
      <c r="J17" s="66" t="s">
        <v>136</v>
      </c>
      <c r="K17" s="102">
        <v>16315895.9</v>
      </c>
      <c r="L17" s="102">
        <v>8848099.6999999993</v>
      </c>
      <c r="M17" s="102">
        <f>K17/L17*100</f>
        <v>184.40000060125908</v>
      </c>
    </row>
    <row r="18" spans="1:13" s="102" customFormat="1" ht="24">
      <c r="A18" s="166"/>
      <c r="C18" s="11" t="s">
        <v>137</v>
      </c>
      <c r="D18" s="83" t="s">
        <v>183</v>
      </c>
      <c r="E18" s="132">
        <v>20888259.5</v>
      </c>
      <c r="F18" s="278">
        <v>7.68</v>
      </c>
      <c r="G18" s="189">
        <v>7845574.7000000002</v>
      </c>
      <c r="H18" s="277">
        <v>3.7</v>
      </c>
      <c r="I18" s="84" t="s">
        <v>138</v>
      </c>
      <c r="J18" s="66" t="s">
        <v>139</v>
      </c>
      <c r="L18" s="102">
        <v>2761043.2</v>
      </c>
    </row>
    <row r="19" spans="1:13" s="102" customFormat="1" ht="21.95" customHeight="1">
      <c r="A19" s="166"/>
      <c r="C19" s="11" t="s">
        <v>140</v>
      </c>
      <c r="D19" s="83" t="s">
        <v>141</v>
      </c>
      <c r="E19" s="132">
        <v>12960897.300000001</v>
      </c>
      <c r="F19" s="278">
        <v>4.76</v>
      </c>
      <c r="G19" s="189">
        <v>5302705.9000000004</v>
      </c>
      <c r="H19" s="277">
        <v>2.5</v>
      </c>
      <c r="I19" s="84" t="s">
        <v>142</v>
      </c>
      <c r="J19" s="66" t="s">
        <v>143</v>
      </c>
      <c r="L19" s="302">
        <f>L17+L18</f>
        <v>11609142.899999999</v>
      </c>
    </row>
    <row r="20" spans="1:13" s="102" customFormat="1" ht="27" customHeight="1">
      <c r="A20" s="166"/>
      <c r="C20" s="11" t="s">
        <v>144</v>
      </c>
      <c r="D20" s="83" t="s">
        <v>185</v>
      </c>
      <c r="E20" s="132">
        <f>5130266.3+4050560.6</f>
        <v>9180826.9000000004</v>
      </c>
      <c r="F20" s="278">
        <v>3.37</v>
      </c>
      <c r="G20" s="189">
        <v>4614263.5</v>
      </c>
      <c r="H20" s="277">
        <v>2.17</v>
      </c>
      <c r="I20" s="84" t="s">
        <v>145</v>
      </c>
      <c r="J20" s="66" t="s">
        <v>146</v>
      </c>
    </row>
    <row r="21" spans="1:13" s="102" customFormat="1" ht="27" customHeight="1">
      <c r="A21" s="166"/>
      <c r="C21" s="11" t="s">
        <v>147</v>
      </c>
      <c r="D21" s="83" t="s">
        <v>186</v>
      </c>
      <c r="E21" s="132">
        <v>4455068.8</v>
      </c>
      <c r="F21" s="278">
        <v>1.64</v>
      </c>
      <c r="G21" s="189">
        <v>2183582</v>
      </c>
      <c r="H21" s="277">
        <v>1.03</v>
      </c>
      <c r="I21" s="84" t="s">
        <v>148</v>
      </c>
      <c r="J21" s="66" t="s">
        <v>149</v>
      </c>
    </row>
    <row r="22" spans="1:13" s="102" customFormat="1" ht="27" customHeight="1">
      <c r="A22" s="166"/>
      <c r="C22" s="11" t="s">
        <v>150</v>
      </c>
      <c r="D22" s="83" t="s">
        <v>187</v>
      </c>
      <c r="E22" s="132">
        <v>98325.7</v>
      </c>
      <c r="F22" s="278">
        <v>0.04</v>
      </c>
      <c r="G22" s="189">
        <v>58146.5</v>
      </c>
      <c r="H22" s="277">
        <v>0.02</v>
      </c>
      <c r="I22" s="84" t="s">
        <v>151</v>
      </c>
      <c r="J22" s="66" t="s">
        <v>152</v>
      </c>
    </row>
    <row r="23" spans="1:13" s="102" customFormat="1" ht="27" customHeight="1" thickBot="1">
      <c r="A23" s="166"/>
      <c r="C23" s="124" t="s">
        <v>153</v>
      </c>
      <c r="D23" s="86" t="s">
        <v>188</v>
      </c>
      <c r="E23" s="279" t="s">
        <v>96</v>
      </c>
      <c r="F23" s="280" t="s">
        <v>96</v>
      </c>
      <c r="G23" s="279" t="s">
        <v>96</v>
      </c>
      <c r="H23" s="279" t="s">
        <v>96</v>
      </c>
      <c r="I23" s="87" t="s">
        <v>154</v>
      </c>
      <c r="J23" s="68" t="s">
        <v>155</v>
      </c>
    </row>
    <row r="24" spans="1:13" s="102" customFormat="1" ht="21" customHeight="1">
      <c r="A24" s="166"/>
      <c r="C24" s="371" t="s">
        <v>189</v>
      </c>
      <c r="D24" s="372"/>
      <c r="E24" s="131">
        <f>E5+E6+E8+E9+E10+E11+E12+E13+E14+E15+E16+E17+E18+E19+E20+E21+E22</f>
        <v>272083888.99999994</v>
      </c>
      <c r="F24" s="178">
        <f>F5+F6+F8+F9+F10+F11+F12+F13+F14+F15+F16+F17+F18+F19+F20+F21+F22</f>
        <v>100.00000000000004</v>
      </c>
      <c r="G24" s="131">
        <f>G5+G6+G8+G9+G10+G11+G12+G13+G14+G15+G16+G17+G18+G19+G20+G21+G22</f>
        <v>212262403.59999999</v>
      </c>
      <c r="H24" s="178">
        <f>H5+H6+H8+H9+H10+H11+H12+H13+H14+H15+H16+H17+H18+H19+H20+H21+H22</f>
        <v>100</v>
      </c>
      <c r="I24" s="372" t="s">
        <v>156</v>
      </c>
      <c r="J24" s="373"/>
      <c r="L24" s="297">
        <f>G18+G19+G20+G21+G22</f>
        <v>20004272.600000001</v>
      </c>
    </row>
    <row r="25" spans="1:13" ht="21.75" customHeight="1">
      <c r="A25" s="165"/>
      <c r="C25" s="374" t="s">
        <v>190</v>
      </c>
      <c r="D25" s="375"/>
      <c r="E25" s="132">
        <v>3165015</v>
      </c>
      <c r="F25" s="134"/>
      <c r="G25" s="132">
        <v>1729516.4</v>
      </c>
      <c r="H25" s="129"/>
      <c r="I25" s="376" t="s">
        <v>176</v>
      </c>
      <c r="J25" s="377"/>
    </row>
    <row r="26" spans="1:13" ht="24.95" customHeight="1" thickBot="1">
      <c r="A26" s="167"/>
      <c r="C26" s="378" t="s">
        <v>157</v>
      </c>
      <c r="D26" s="379"/>
      <c r="E26" s="133">
        <f>E24-E25</f>
        <v>268918873.99999994</v>
      </c>
      <c r="F26" s="135"/>
      <c r="G26" s="133">
        <f>G24-G25</f>
        <v>210532887.19999999</v>
      </c>
      <c r="H26" s="130"/>
      <c r="I26" s="379" t="s">
        <v>29</v>
      </c>
      <c r="J26" s="380"/>
    </row>
    <row r="27" spans="1:13" ht="18.75" customHeight="1" thickTop="1">
      <c r="A27" s="167"/>
      <c r="C27" s="369" t="s">
        <v>204</v>
      </c>
      <c r="D27" s="369"/>
      <c r="G27" s="67"/>
      <c r="H27" s="67"/>
      <c r="I27" s="370"/>
      <c r="J27" s="370"/>
    </row>
    <row r="28" spans="1:13" ht="16.5" customHeight="1">
      <c r="A28" s="167">
        <v>9</v>
      </c>
      <c r="C28" s="368"/>
      <c r="D28" s="368"/>
      <c r="E28" s="368"/>
      <c r="F28" s="58"/>
      <c r="G28" s="58"/>
    </row>
    <row r="29" spans="1:13" ht="16.5" customHeight="1">
      <c r="E29" s="58"/>
      <c r="F29" s="58"/>
      <c r="G29" s="58"/>
      <c r="H29" s="58"/>
      <c r="I29" s="58"/>
    </row>
  </sheetData>
  <mergeCells count="16">
    <mergeCell ref="C28:E28"/>
    <mergeCell ref="A1:A8"/>
    <mergeCell ref="C27:D27"/>
    <mergeCell ref="I27:J27"/>
    <mergeCell ref="C24:D24"/>
    <mergeCell ref="I24:J24"/>
    <mergeCell ref="C25:D25"/>
    <mergeCell ref="I25:J25"/>
    <mergeCell ref="C26:D26"/>
    <mergeCell ref="I26:J26"/>
    <mergeCell ref="C1:J1"/>
    <mergeCell ref="C2:J2"/>
    <mergeCell ref="C3:C4"/>
    <mergeCell ref="D3:D4"/>
    <mergeCell ref="I3:I4"/>
    <mergeCell ref="J3:J4"/>
  </mergeCells>
  <printOptions horizontalCentered="1"/>
  <pageMargins left="0.27559055118110237" right="0.23622047244094491" top="0.39370078740157483" bottom="0.35433070866141736" header="0.19685039370078741" footer="0.23622047244094491"/>
  <pageSetup paperSize="9" scale="78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38"/>
  <sheetViews>
    <sheetView rightToLeft="1" tabSelected="1" view="pageBreakPreview" topLeftCell="A10" zoomScaleSheetLayoutView="100" workbookViewId="0">
      <selection sqref="A1:A8"/>
    </sheetView>
  </sheetViews>
  <sheetFormatPr defaultRowHeight="12.75"/>
  <cols>
    <col min="1" max="1" width="3.42578125" style="1" customWidth="1"/>
    <col min="2" max="3" width="6.140625" style="1" customWidth="1"/>
    <col min="4" max="4" width="27.28515625" style="1" customWidth="1"/>
    <col min="5" max="7" width="20.85546875" style="1" customWidth="1"/>
    <col min="8" max="8" width="35.7109375" style="1" customWidth="1"/>
    <col min="9" max="9" width="6.42578125" style="1" customWidth="1"/>
    <col min="10" max="10" width="14" style="1" bestFit="1" customWidth="1"/>
    <col min="11" max="11" width="11.5703125" style="1" bestFit="1" customWidth="1"/>
    <col min="12" max="16384" width="9.140625" style="1"/>
  </cols>
  <sheetData>
    <row r="1" spans="1:11" ht="33" customHeight="1">
      <c r="A1" s="353" t="s">
        <v>201</v>
      </c>
      <c r="C1" s="381" t="s">
        <v>250</v>
      </c>
      <c r="D1" s="381"/>
      <c r="E1" s="381"/>
      <c r="F1" s="381"/>
      <c r="G1" s="381"/>
      <c r="H1" s="381"/>
      <c r="I1" s="381"/>
    </row>
    <row r="2" spans="1:11" ht="35.25" customHeight="1" thickBot="1">
      <c r="A2" s="353"/>
      <c r="C2" s="382" t="s">
        <v>251</v>
      </c>
      <c r="D2" s="382"/>
      <c r="E2" s="382"/>
      <c r="F2" s="382"/>
      <c r="G2" s="382"/>
      <c r="H2" s="382"/>
      <c r="I2" s="382"/>
    </row>
    <row r="3" spans="1:11" ht="31.5" customHeight="1" thickTop="1">
      <c r="A3" s="353"/>
      <c r="C3" s="362" t="s">
        <v>44</v>
      </c>
      <c r="D3" s="362" t="s">
        <v>192</v>
      </c>
      <c r="E3" s="192" t="s">
        <v>84</v>
      </c>
      <c r="F3" s="192" t="s">
        <v>164</v>
      </c>
      <c r="G3" s="192" t="s">
        <v>82</v>
      </c>
      <c r="H3" s="383" t="s">
        <v>97</v>
      </c>
      <c r="I3" s="383" t="s">
        <v>98</v>
      </c>
    </row>
    <row r="4" spans="1:11" ht="31.5" customHeight="1" thickBot="1">
      <c r="A4" s="353"/>
      <c r="C4" s="363"/>
      <c r="D4" s="363"/>
      <c r="E4" s="94" t="s">
        <v>85</v>
      </c>
      <c r="F4" s="193" t="s">
        <v>86</v>
      </c>
      <c r="G4" s="193" t="s">
        <v>78</v>
      </c>
      <c r="H4" s="384"/>
      <c r="I4" s="384"/>
    </row>
    <row r="5" spans="1:11" ht="21.95" customHeight="1">
      <c r="A5" s="353"/>
      <c r="C5" s="9" t="s">
        <v>99</v>
      </c>
      <c r="D5" s="303" t="s">
        <v>179</v>
      </c>
      <c r="E5" s="141">
        <v>80295.7</v>
      </c>
      <c r="F5" s="141">
        <v>7140608.2999999998</v>
      </c>
      <c r="G5" s="141">
        <f>E5+F5</f>
        <v>7220904</v>
      </c>
      <c r="H5" s="82" t="s">
        <v>100</v>
      </c>
      <c r="I5" s="65" t="s">
        <v>101</v>
      </c>
      <c r="K5" s="58"/>
    </row>
    <row r="6" spans="1:11" ht="21.95" customHeight="1">
      <c r="A6" s="353"/>
      <c r="C6" s="11" t="s">
        <v>102</v>
      </c>
      <c r="D6" s="83" t="s">
        <v>103</v>
      </c>
      <c r="E6" s="141">
        <v>0</v>
      </c>
      <c r="F6" s="141">
        <v>351361.1</v>
      </c>
      <c r="G6" s="141">
        <f>F6</f>
        <v>351361.1</v>
      </c>
      <c r="H6" s="84" t="s">
        <v>104</v>
      </c>
      <c r="I6" s="66" t="s">
        <v>105</v>
      </c>
      <c r="J6" s="58"/>
      <c r="K6" s="58"/>
    </row>
    <row r="7" spans="1:11" ht="21.95" customHeight="1">
      <c r="A7" s="353"/>
      <c r="C7" s="11" t="s">
        <v>106</v>
      </c>
      <c r="D7" s="83" t="s">
        <v>50</v>
      </c>
      <c r="E7" s="141">
        <f>E8+E9</f>
        <v>120212371.39999999</v>
      </c>
      <c r="F7" s="141">
        <f>F8+F9</f>
        <v>403846.8</v>
      </c>
      <c r="G7" s="141">
        <f>G8+G9</f>
        <v>120616218.19999999</v>
      </c>
      <c r="H7" s="84" t="s">
        <v>51</v>
      </c>
      <c r="I7" s="66" t="s">
        <v>107</v>
      </c>
      <c r="K7" s="58"/>
    </row>
    <row r="8" spans="1:11" ht="21.95" customHeight="1">
      <c r="A8" s="353"/>
      <c r="C8" s="11"/>
      <c r="D8" s="83" t="s">
        <v>108</v>
      </c>
      <c r="E8" s="141">
        <v>120174322.09999999</v>
      </c>
      <c r="F8" s="141">
        <v>0</v>
      </c>
      <c r="G8" s="141">
        <f>E8</f>
        <v>120174322.09999999</v>
      </c>
      <c r="H8" s="84" t="s">
        <v>109</v>
      </c>
      <c r="I8" s="66"/>
      <c r="K8" s="58"/>
    </row>
    <row r="9" spans="1:11" ht="21.95" customHeight="1">
      <c r="A9" s="165"/>
      <c r="C9" s="11"/>
      <c r="D9" s="83" t="s">
        <v>110</v>
      </c>
      <c r="E9" s="141">
        <v>38049.300000000003</v>
      </c>
      <c r="F9" s="141">
        <v>403846.8</v>
      </c>
      <c r="G9" s="141">
        <f>E9+F9</f>
        <v>441896.1</v>
      </c>
      <c r="H9" s="85" t="s">
        <v>111</v>
      </c>
      <c r="I9" s="66"/>
      <c r="K9" s="58"/>
    </row>
    <row r="10" spans="1:11" s="102" customFormat="1" ht="21.95" customHeight="1">
      <c r="A10" s="166"/>
      <c r="C10" s="11" t="s">
        <v>112</v>
      </c>
      <c r="D10" s="83" t="s">
        <v>193</v>
      </c>
      <c r="E10" s="141">
        <v>2697706</v>
      </c>
      <c r="F10" s="141">
        <v>2766665.6</v>
      </c>
      <c r="G10" s="141">
        <f>E10+F10</f>
        <v>5464371.5999999996</v>
      </c>
      <c r="H10" s="84" t="s">
        <v>59</v>
      </c>
      <c r="I10" s="66" t="s">
        <v>113</v>
      </c>
      <c r="K10" s="58"/>
    </row>
    <row r="11" spans="1:11" ht="21.95" customHeight="1">
      <c r="A11" s="165"/>
      <c r="C11" s="11" t="s">
        <v>114</v>
      </c>
      <c r="D11" s="83" t="s">
        <v>115</v>
      </c>
      <c r="E11" s="141">
        <v>5729214.7999999998</v>
      </c>
      <c r="F11" s="141">
        <v>1420964.3</v>
      </c>
      <c r="G11" s="141">
        <f>E11+F11</f>
        <v>7150179.0999999996</v>
      </c>
      <c r="H11" s="85" t="s">
        <v>116</v>
      </c>
      <c r="I11" s="66" t="s">
        <v>117</v>
      </c>
      <c r="K11" s="58"/>
    </row>
    <row r="12" spans="1:11" ht="21.95" customHeight="1">
      <c r="A12" s="165"/>
      <c r="C12" s="11" t="s">
        <v>118</v>
      </c>
      <c r="D12" s="83" t="s">
        <v>2</v>
      </c>
      <c r="E12" s="141">
        <v>331767.90000000002</v>
      </c>
      <c r="F12" s="141">
        <v>12110663.300000001</v>
      </c>
      <c r="G12" s="141">
        <f t="shared" ref="G12:G16" si="0">E12+F12</f>
        <v>12442431.200000001</v>
      </c>
      <c r="H12" s="85" t="s">
        <v>119</v>
      </c>
      <c r="I12" s="66" t="s">
        <v>120</v>
      </c>
      <c r="K12" s="58"/>
    </row>
    <row r="13" spans="1:11" s="102" customFormat="1" ht="35.25" customHeight="1">
      <c r="A13" s="166"/>
      <c r="C13" s="11" t="s">
        <v>121</v>
      </c>
      <c r="D13" s="83" t="s">
        <v>184</v>
      </c>
      <c r="E13" s="141">
        <v>7186885.2999999998</v>
      </c>
      <c r="F13" s="141">
        <v>14956085.9</v>
      </c>
      <c r="G13" s="141">
        <f t="shared" si="0"/>
        <v>22142971.199999999</v>
      </c>
      <c r="H13" s="84" t="s">
        <v>122</v>
      </c>
      <c r="I13" s="66" t="s">
        <v>123</v>
      </c>
      <c r="K13" s="58"/>
    </row>
    <row r="14" spans="1:11" s="102" customFormat="1" ht="21.95" customHeight="1">
      <c r="A14" s="166"/>
      <c r="C14" s="11" t="s">
        <v>124</v>
      </c>
      <c r="D14" s="83" t="s">
        <v>125</v>
      </c>
      <c r="E14" s="141">
        <f>3695</f>
        <v>3695</v>
      </c>
      <c r="F14" s="141">
        <v>2355373.5</v>
      </c>
      <c r="G14" s="141">
        <f>E14+F14</f>
        <v>2359068.5</v>
      </c>
      <c r="H14" s="84" t="s">
        <v>126</v>
      </c>
      <c r="I14" s="66" t="s">
        <v>127</v>
      </c>
      <c r="J14" s="297"/>
      <c r="K14" s="58"/>
    </row>
    <row r="15" spans="1:11" s="102" customFormat="1" ht="21.95" customHeight="1">
      <c r="A15" s="166"/>
      <c r="C15" s="11" t="s">
        <v>128</v>
      </c>
      <c r="D15" s="12" t="s">
        <v>286</v>
      </c>
      <c r="E15" s="141">
        <v>1508480.7</v>
      </c>
      <c r="F15" s="141">
        <v>23958751.5</v>
      </c>
      <c r="G15" s="141">
        <f>E15+F15</f>
        <v>25467232.199999999</v>
      </c>
      <c r="H15" s="84" t="s">
        <v>129</v>
      </c>
      <c r="I15" s="66" t="s">
        <v>130</v>
      </c>
      <c r="K15" s="58"/>
    </row>
    <row r="16" spans="1:11" s="102" customFormat="1" ht="21.95" customHeight="1">
      <c r="A16" s="166"/>
      <c r="C16" s="11" t="s">
        <v>131</v>
      </c>
      <c r="D16" s="83" t="s">
        <v>191</v>
      </c>
      <c r="E16" s="141">
        <f>4116180</f>
        <v>4116180</v>
      </c>
      <c r="F16" s="141">
        <f>853697.8-390118.8</f>
        <v>463579.00000000006</v>
      </c>
      <c r="G16" s="141">
        <f t="shared" si="0"/>
        <v>4579759</v>
      </c>
      <c r="H16" s="84" t="s">
        <v>132</v>
      </c>
      <c r="I16" s="66" t="s">
        <v>133</v>
      </c>
      <c r="J16" s="302"/>
      <c r="K16" s="58"/>
    </row>
    <row r="17" spans="1:11" s="102" customFormat="1" ht="21.95" customHeight="1">
      <c r="A17" s="166"/>
      <c r="C17" s="11" t="s">
        <v>134</v>
      </c>
      <c r="D17" s="83" t="s">
        <v>181</v>
      </c>
      <c r="E17" s="141">
        <v>0</v>
      </c>
      <c r="F17" s="141">
        <v>16706014.699999999</v>
      </c>
      <c r="G17" s="141">
        <f>F17</f>
        <v>16706014.699999999</v>
      </c>
      <c r="H17" s="84" t="s">
        <v>135</v>
      </c>
      <c r="I17" s="66" t="s">
        <v>136</v>
      </c>
      <c r="J17" s="302"/>
      <c r="K17" s="58"/>
    </row>
    <row r="18" spans="1:11" s="102" customFormat="1" ht="21.95" customHeight="1">
      <c r="A18" s="166"/>
      <c r="C18" s="11" t="s">
        <v>137</v>
      </c>
      <c r="D18" s="83" t="s">
        <v>182</v>
      </c>
      <c r="E18" s="141">
        <v>20888259.5</v>
      </c>
      <c r="F18" s="141">
        <v>0</v>
      </c>
      <c r="G18" s="141">
        <f>E18</f>
        <v>20888259.5</v>
      </c>
      <c r="H18" s="84" t="s">
        <v>138</v>
      </c>
      <c r="I18" s="66" t="s">
        <v>139</v>
      </c>
      <c r="J18" s="302"/>
      <c r="K18" s="58"/>
    </row>
    <row r="19" spans="1:11" s="102" customFormat="1" ht="21.95" customHeight="1">
      <c r="A19" s="166"/>
      <c r="C19" s="11" t="s">
        <v>140</v>
      </c>
      <c r="D19" s="83" t="s">
        <v>141</v>
      </c>
      <c r="E19" s="141">
        <v>11739309.300000001</v>
      </c>
      <c r="F19" s="141">
        <v>1221588</v>
      </c>
      <c r="G19" s="141">
        <f>E19+F19</f>
        <v>12960897.300000001</v>
      </c>
      <c r="H19" s="84" t="s">
        <v>142</v>
      </c>
      <c r="I19" s="66" t="s">
        <v>143</v>
      </c>
      <c r="K19" s="58"/>
    </row>
    <row r="20" spans="1:11" s="102" customFormat="1" ht="21.95" customHeight="1">
      <c r="A20" s="166"/>
      <c r="C20" s="11" t="s">
        <v>144</v>
      </c>
      <c r="D20" s="83" t="s">
        <v>185</v>
      </c>
      <c r="E20" s="141">
        <v>4050560.6</v>
      </c>
      <c r="F20" s="141">
        <v>5130266.3</v>
      </c>
      <c r="G20" s="141">
        <f>E20+F20</f>
        <v>9180826.9000000004</v>
      </c>
      <c r="H20" s="84" t="s">
        <v>145</v>
      </c>
      <c r="I20" s="66" t="s">
        <v>146</v>
      </c>
      <c r="K20" s="58"/>
    </row>
    <row r="21" spans="1:11" s="102" customFormat="1" ht="28.5" customHeight="1">
      <c r="A21" s="166"/>
      <c r="C21" s="11" t="s">
        <v>147</v>
      </c>
      <c r="D21" s="83" t="s">
        <v>186</v>
      </c>
      <c r="E21" s="141">
        <v>2241542.4</v>
      </c>
      <c r="F21" s="141">
        <v>2213526.4</v>
      </c>
      <c r="G21" s="141">
        <f>E21+F21</f>
        <v>4455068.8</v>
      </c>
      <c r="H21" s="84" t="s">
        <v>148</v>
      </c>
      <c r="I21" s="66" t="s">
        <v>149</v>
      </c>
      <c r="K21" s="58"/>
    </row>
    <row r="22" spans="1:11" s="102" customFormat="1" ht="27" customHeight="1">
      <c r="A22" s="166"/>
      <c r="C22" s="11" t="s">
        <v>150</v>
      </c>
      <c r="D22" s="83" t="s">
        <v>187</v>
      </c>
      <c r="E22" s="141">
        <v>0</v>
      </c>
      <c r="F22" s="141">
        <v>98325.7</v>
      </c>
      <c r="G22" s="141">
        <f>F22</f>
        <v>98325.7</v>
      </c>
      <c r="H22" s="84" t="s">
        <v>151</v>
      </c>
      <c r="I22" s="66" t="s">
        <v>152</v>
      </c>
      <c r="J22" s="297"/>
      <c r="K22" s="58"/>
    </row>
    <row r="23" spans="1:11" ht="21.95" customHeight="1" thickBot="1">
      <c r="A23" s="165"/>
      <c r="C23" s="71" t="s">
        <v>153</v>
      </c>
      <c r="D23" s="86" t="s">
        <v>188</v>
      </c>
      <c r="E23" s="190" t="s">
        <v>96</v>
      </c>
      <c r="F23" s="190" t="s">
        <v>96</v>
      </c>
      <c r="G23" s="190" t="s">
        <v>96</v>
      </c>
      <c r="H23" s="87" t="s">
        <v>154</v>
      </c>
      <c r="I23" s="68" t="s">
        <v>155</v>
      </c>
      <c r="K23" s="58"/>
    </row>
    <row r="24" spans="1:11" ht="24.95" customHeight="1" thickBot="1">
      <c r="A24" s="165"/>
      <c r="C24" s="388" t="s">
        <v>189</v>
      </c>
      <c r="D24" s="386"/>
      <c r="E24" s="144">
        <f>E5+E8+E9+E10+E11+E12+E13+E14+E15+E16+E18+E19+E20+E21</f>
        <v>180786268.59999999</v>
      </c>
      <c r="F24" s="144">
        <f>F5+F6+F9+F10+F11+F12+F13+F14+F15+F16+F17+F19+F20+F21+F22</f>
        <v>91297620.400000006</v>
      </c>
      <c r="G24" s="144">
        <f>G5+G6+G8+G9+G10+G11+G12+G13+G14+G15+G16+G17+G18+G19+G20+G21+G22</f>
        <v>272083888.99999994</v>
      </c>
      <c r="H24" s="386" t="s">
        <v>156</v>
      </c>
      <c r="I24" s="387"/>
      <c r="K24" s="58"/>
    </row>
    <row r="25" spans="1:11" ht="15.75" thickTop="1">
      <c r="A25" s="165"/>
      <c r="C25" s="369" t="s">
        <v>204</v>
      </c>
      <c r="D25" s="369"/>
      <c r="F25" s="58"/>
      <c r="G25" s="58"/>
      <c r="H25" s="385"/>
      <c r="I25" s="385"/>
    </row>
    <row r="26" spans="1:11" ht="17.25">
      <c r="A26" s="167">
        <v>10</v>
      </c>
      <c r="E26" s="58"/>
      <c r="F26" s="58"/>
      <c r="G26" s="58"/>
    </row>
    <row r="27" spans="1:11">
      <c r="A27" s="165"/>
      <c r="E27" s="103"/>
      <c r="F27" s="103"/>
      <c r="G27" s="67"/>
    </row>
    <row r="28" spans="1:11">
      <c r="A28" s="165"/>
      <c r="E28" s="58"/>
      <c r="F28" s="58"/>
      <c r="G28" s="58"/>
    </row>
    <row r="29" spans="1:11">
      <c r="A29" s="165"/>
      <c r="C29" s="69"/>
      <c r="D29" s="69"/>
      <c r="E29" s="70"/>
      <c r="F29" s="69"/>
      <c r="G29" s="70"/>
      <c r="H29" s="69"/>
      <c r="I29" s="69"/>
    </row>
    <row r="30" spans="1:11">
      <c r="E30" s="58"/>
      <c r="F30" s="100"/>
      <c r="G30" s="58"/>
    </row>
    <row r="31" spans="1:11">
      <c r="E31" s="58"/>
      <c r="F31" s="58"/>
      <c r="G31" s="58"/>
    </row>
    <row r="32" spans="1:11">
      <c r="E32" s="58"/>
      <c r="F32" s="58"/>
      <c r="G32" s="58"/>
    </row>
    <row r="38" spans="6:7">
      <c r="F38" s="58"/>
      <c r="G38" s="58"/>
    </row>
  </sheetData>
  <mergeCells count="11">
    <mergeCell ref="A1:A8"/>
    <mergeCell ref="C1:I1"/>
    <mergeCell ref="C2:I2"/>
    <mergeCell ref="C25:D25"/>
    <mergeCell ref="H25:I25"/>
    <mergeCell ref="H24:I24"/>
    <mergeCell ref="C24:D24"/>
    <mergeCell ref="C3:C4"/>
    <mergeCell ref="D3:D4"/>
    <mergeCell ref="I3:I4"/>
    <mergeCell ref="H3:H4"/>
  </mergeCells>
  <phoneticPr fontId="2" type="noConversion"/>
  <printOptions horizontalCentered="1" verticalCentered="1"/>
  <pageMargins left="0.196850393700787" right="0.24" top="0.24" bottom="0.39370078740157499" header="0.2" footer="0.196850393700787"/>
  <pageSetup paperSize="9" scale="8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M39"/>
  <sheetViews>
    <sheetView rightToLeft="1" view="pageBreakPreview" topLeftCell="B13" zoomScaleSheetLayoutView="100" workbookViewId="0">
      <selection sqref="A1:A8"/>
    </sheetView>
  </sheetViews>
  <sheetFormatPr defaultRowHeight="12.75"/>
  <cols>
    <col min="1" max="1" width="4.140625" style="1" customWidth="1"/>
    <col min="2" max="2" width="3.7109375" style="1" customWidth="1"/>
    <col min="3" max="3" width="6.28515625" style="1" customWidth="1"/>
    <col min="4" max="4" width="25.7109375" style="1" customWidth="1"/>
    <col min="5" max="9" width="17.5703125" style="1" customWidth="1"/>
    <col min="10" max="10" width="30.7109375" style="1" customWidth="1"/>
    <col min="11" max="11" width="6.7109375" style="1" customWidth="1"/>
    <col min="12" max="12" width="10.5703125" style="1" bestFit="1" customWidth="1"/>
    <col min="13" max="13" width="14" style="1" bestFit="1" customWidth="1"/>
    <col min="14" max="16384" width="9.140625" style="1"/>
  </cols>
  <sheetData>
    <row r="1" spans="1:13" s="91" customFormat="1" ht="33" customHeight="1">
      <c r="A1" s="353" t="s">
        <v>201</v>
      </c>
      <c r="C1" s="392" t="s">
        <v>248</v>
      </c>
      <c r="D1" s="392"/>
      <c r="E1" s="392"/>
      <c r="F1" s="392"/>
      <c r="G1" s="392"/>
      <c r="H1" s="392"/>
      <c r="I1" s="392"/>
      <c r="J1" s="392"/>
      <c r="K1" s="392"/>
    </row>
    <row r="2" spans="1:13" s="91" customFormat="1" ht="45.75" customHeight="1" thickBot="1">
      <c r="A2" s="353"/>
      <c r="C2" s="393" t="s">
        <v>249</v>
      </c>
      <c r="D2" s="393"/>
      <c r="E2" s="393"/>
      <c r="F2" s="393"/>
      <c r="G2" s="393"/>
      <c r="H2" s="393"/>
      <c r="I2" s="393"/>
      <c r="J2" s="393"/>
      <c r="K2" s="393"/>
    </row>
    <row r="3" spans="1:13" ht="24.95" customHeight="1" thickTop="1">
      <c r="A3" s="353"/>
      <c r="C3" s="362" t="s">
        <v>44</v>
      </c>
      <c r="D3" s="362" t="s">
        <v>192</v>
      </c>
      <c r="E3" s="215" t="s">
        <v>62</v>
      </c>
      <c r="F3" s="216" t="s">
        <v>63</v>
      </c>
      <c r="G3" s="217" t="s">
        <v>64</v>
      </c>
      <c r="H3" s="217" t="s">
        <v>33</v>
      </c>
      <c r="I3" s="218" t="s">
        <v>35</v>
      </c>
      <c r="J3" s="383" t="s">
        <v>97</v>
      </c>
      <c r="K3" s="383" t="s">
        <v>98</v>
      </c>
    </row>
    <row r="4" spans="1:13" ht="24.95" customHeight="1" thickBot="1">
      <c r="A4" s="353"/>
      <c r="C4" s="363"/>
      <c r="D4" s="363"/>
      <c r="E4" s="95" t="s">
        <v>65</v>
      </c>
      <c r="F4" s="96" t="s">
        <v>66</v>
      </c>
      <c r="G4" s="97" t="s">
        <v>67</v>
      </c>
      <c r="H4" s="96" t="s">
        <v>32</v>
      </c>
      <c r="I4" s="98" t="s">
        <v>68</v>
      </c>
      <c r="J4" s="384"/>
      <c r="K4" s="384"/>
    </row>
    <row r="5" spans="1:13" ht="21.95" customHeight="1">
      <c r="A5" s="353"/>
      <c r="C5" s="9" t="s">
        <v>99</v>
      </c>
      <c r="D5" s="303" t="s">
        <v>179</v>
      </c>
      <c r="E5" s="141">
        <v>10000902.300000001</v>
      </c>
      <c r="F5" s="141">
        <v>2779998.3</v>
      </c>
      <c r="G5" s="141">
        <f>E5-F5</f>
        <v>7220904.0000000009</v>
      </c>
      <c r="H5" s="141">
        <v>2492538</v>
      </c>
      <c r="I5" s="141">
        <f>G5-H5</f>
        <v>4728366.0000000009</v>
      </c>
      <c r="J5" s="82" t="s">
        <v>100</v>
      </c>
      <c r="K5" s="65" t="s">
        <v>101</v>
      </c>
    </row>
    <row r="6" spans="1:13" ht="21.95" customHeight="1">
      <c r="A6" s="353"/>
      <c r="C6" s="11" t="s">
        <v>102</v>
      </c>
      <c r="D6" s="83" t="s">
        <v>103</v>
      </c>
      <c r="E6" s="141">
        <v>412105.5</v>
      </c>
      <c r="F6" s="141">
        <v>60744.4</v>
      </c>
      <c r="G6" s="141">
        <f>E6-F6</f>
        <v>351361.1</v>
      </c>
      <c r="H6" s="141">
        <v>120868.2</v>
      </c>
      <c r="I6" s="141">
        <f>G6-H6</f>
        <v>230492.89999999997</v>
      </c>
      <c r="J6" s="84" t="s">
        <v>104</v>
      </c>
      <c r="K6" s="66" t="s">
        <v>105</v>
      </c>
      <c r="L6" s="58">
        <f>G5+G6</f>
        <v>7572265.1000000006</v>
      </c>
    </row>
    <row r="7" spans="1:13" ht="21.95" customHeight="1">
      <c r="A7" s="353"/>
      <c r="C7" s="11" t="s">
        <v>106</v>
      </c>
      <c r="D7" s="83" t="s">
        <v>50</v>
      </c>
      <c r="E7" s="141">
        <f>E8+E9</f>
        <v>125653237.09999999</v>
      </c>
      <c r="F7" s="141">
        <f>F8+F9</f>
        <v>5037018.9000000004</v>
      </c>
      <c r="G7" s="141">
        <f>E7-F7</f>
        <v>120616218.19999999</v>
      </c>
      <c r="H7" s="141">
        <f>H8+H9</f>
        <v>2973752.1</v>
      </c>
      <c r="I7" s="141">
        <f>G7-H7</f>
        <v>117642466.09999999</v>
      </c>
      <c r="J7" s="84" t="s">
        <v>51</v>
      </c>
      <c r="K7" s="66" t="s">
        <v>107</v>
      </c>
    </row>
    <row r="8" spans="1:13" ht="21.95" customHeight="1">
      <c r="A8" s="353"/>
      <c r="C8" s="11"/>
      <c r="D8" s="83" t="s">
        <v>108</v>
      </c>
      <c r="E8" s="141">
        <v>124956773</v>
      </c>
      <c r="F8" s="141">
        <v>4782450.9000000004</v>
      </c>
      <c r="G8" s="141">
        <f t="shared" ref="G8:G12" si="0">E8-F8</f>
        <v>120174322.09999999</v>
      </c>
      <c r="H8" s="141">
        <v>2862898.4</v>
      </c>
      <c r="I8" s="141">
        <f t="shared" ref="I8:I12" si="1">G8-H8</f>
        <v>117311423.69999999</v>
      </c>
      <c r="J8" s="84" t="s">
        <v>109</v>
      </c>
      <c r="K8" s="66"/>
    </row>
    <row r="9" spans="1:13" s="102" customFormat="1" ht="21.95" customHeight="1">
      <c r="A9" s="166"/>
      <c r="C9" s="11"/>
      <c r="D9" s="83" t="s">
        <v>110</v>
      </c>
      <c r="E9" s="141">
        <v>696464.1</v>
      </c>
      <c r="F9" s="141">
        <v>254568</v>
      </c>
      <c r="G9" s="141">
        <f>E9-F9</f>
        <v>441896.1</v>
      </c>
      <c r="H9" s="141">
        <v>110853.7</v>
      </c>
      <c r="I9" s="141">
        <f>G9-H9</f>
        <v>331042.39999999997</v>
      </c>
      <c r="J9" s="85" t="s">
        <v>111</v>
      </c>
      <c r="K9" s="66"/>
      <c r="L9" s="102">
        <v>1610</v>
      </c>
    </row>
    <row r="10" spans="1:13" s="102" customFormat="1" ht="21.95" customHeight="1">
      <c r="A10" s="166"/>
      <c r="C10" s="11" t="s">
        <v>112</v>
      </c>
      <c r="D10" s="83" t="s">
        <v>193</v>
      </c>
      <c r="E10" s="141">
        <v>13204043.6</v>
      </c>
      <c r="F10" s="141">
        <v>7739672</v>
      </c>
      <c r="G10" s="141">
        <f>E10-F10</f>
        <v>5464371.5999999996</v>
      </c>
      <c r="H10" s="141">
        <v>1860486.4</v>
      </c>
      <c r="I10" s="141">
        <f>G10-H10</f>
        <v>3603885.1999999997</v>
      </c>
      <c r="J10" s="84" t="s">
        <v>59</v>
      </c>
      <c r="K10" s="66" t="s">
        <v>113</v>
      </c>
      <c r="L10" s="102">
        <v>1631.2</v>
      </c>
    </row>
    <row r="11" spans="1:13" s="102" customFormat="1" ht="21.95" customHeight="1">
      <c r="A11" s="166"/>
      <c r="C11" s="11" t="s">
        <v>114</v>
      </c>
      <c r="D11" s="83" t="s">
        <v>115</v>
      </c>
      <c r="E11" s="141">
        <f>'7'!E11+'8'!E11</f>
        <v>11150351.800000001</v>
      </c>
      <c r="F11" s="141">
        <f>'7'!F11+'8'!F11</f>
        <v>4000172.7</v>
      </c>
      <c r="G11" s="141">
        <f t="shared" si="0"/>
        <v>7150179.1000000006</v>
      </c>
      <c r="H11" s="141">
        <f>'7'!H11+'8'!H11</f>
        <v>1691693.8</v>
      </c>
      <c r="I11" s="141">
        <f t="shared" si="1"/>
        <v>5458485.3000000007</v>
      </c>
      <c r="J11" s="84" t="s">
        <v>116</v>
      </c>
      <c r="K11" s="66" t="s">
        <v>117</v>
      </c>
      <c r="L11" s="102">
        <f>((L9/L10)-1)*100</f>
        <v>-1.2996566944580734</v>
      </c>
    </row>
    <row r="12" spans="1:13" s="102" customFormat="1" ht="21.95" customHeight="1">
      <c r="A12" s="166"/>
      <c r="C12" s="11" t="s">
        <v>118</v>
      </c>
      <c r="D12" s="83" t="s">
        <v>2</v>
      </c>
      <c r="E12" s="141">
        <v>21917098.399999999</v>
      </c>
      <c r="F12" s="141">
        <v>9474667.1999999993</v>
      </c>
      <c r="G12" s="141">
        <f t="shared" si="0"/>
        <v>12442431.199999999</v>
      </c>
      <c r="H12" s="141">
        <v>2842400.2</v>
      </c>
      <c r="I12" s="141">
        <f t="shared" si="1"/>
        <v>9600031</v>
      </c>
      <c r="J12" s="84" t="s">
        <v>119</v>
      </c>
      <c r="K12" s="66" t="s">
        <v>120</v>
      </c>
      <c r="M12" s="301">
        <v>4969877.8</v>
      </c>
    </row>
    <row r="13" spans="1:13" s="102" customFormat="1" ht="36">
      <c r="A13" s="166"/>
      <c r="C13" s="11" t="s">
        <v>121</v>
      </c>
      <c r="D13" s="83" t="s">
        <v>184</v>
      </c>
      <c r="E13" s="141">
        <v>27147402.699999999</v>
      </c>
      <c r="F13" s="141">
        <v>5004431.5</v>
      </c>
      <c r="G13" s="141">
        <f>E13-F13</f>
        <v>22142971.199999999</v>
      </c>
      <c r="H13" s="281">
        <v>2776063.8</v>
      </c>
      <c r="I13" s="141">
        <f>G13-H13</f>
        <v>19366907.399999999</v>
      </c>
      <c r="J13" s="84" t="s">
        <v>122</v>
      </c>
      <c r="K13" s="66" t="s">
        <v>123</v>
      </c>
      <c r="M13" s="301">
        <v>16315895.9</v>
      </c>
    </row>
    <row r="14" spans="1:13" s="102" customFormat="1" ht="21.95" customHeight="1">
      <c r="A14" s="166"/>
      <c r="C14" s="11" t="s">
        <v>124</v>
      </c>
      <c r="D14" s="83" t="s">
        <v>125</v>
      </c>
      <c r="E14" s="141">
        <f>4766120.1+5096.6</f>
        <v>4771216.6999999993</v>
      </c>
      <c r="F14" s="141">
        <f>2410746.6+1401.6</f>
        <v>2412148.2000000002</v>
      </c>
      <c r="G14" s="141">
        <f>E14-F14</f>
        <v>2359068.4999999991</v>
      </c>
      <c r="H14" s="141">
        <f>625678.8+724.2</f>
        <v>626403</v>
      </c>
      <c r="I14" s="141">
        <f>G14-H14</f>
        <v>1732665.4999999991</v>
      </c>
      <c r="J14" s="84" t="s">
        <v>126</v>
      </c>
      <c r="K14" s="66" t="s">
        <v>127</v>
      </c>
      <c r="L14" s="297">
        <f>G16+G17</f>
        <v>21285773.699999999</v>
      </c>
      <c r="M14" s="301">
        <f>SUM(M12:M13)</f>
        <v>21285773.699999999</v>
      </c>
    </row>
    <row r="15" spans="1:13" s="102" customFormat="1" ht="24">
      <c r="A15" s="166"/>
      <c r="C15" s="11" t="s">
        <v>128</v>
      </c>
      <c r="D15" s="12" t="s">
        <v>286</v>
      </c>
      <c r="E15" s="141">
        <v>42369493.700000003</v>
      </c>
      <c r="F15" s="141">
        <v>16902261.5</v>
      </c>
      <c r="G15" s="141">
        <f>E15-F15</f>
        <v>25467232.200000003</v>
      </c>
      <c r="H15" s="141">
        <v>14441125</v>
      </c>
      <c r="I15" s="141">
        <f>G15-H15</f>
        <v>11026107.200000003</v>
      </c>
      <c r="J15" s="84" t="s">
        <v>129</v>
      </c>
      <c r="K15" s="66" t="s">
        <v>130</v>
      </c>
    </row>
    <row r="16" spans="1:13" s="102" customFormat="1" ht="21.95" customHeight="1">
      <c r="A16" s="166"/>
      <c r="C16" s="11" t="s">
        <v>131</v>
      </c>
      <c r="D16" s="83" t="s">
        <v>191</v>
      </c>
      <c r="E16" s="141">
        <v>5126763</v>
      </c>
      <c r="F16" s="141">
        <v>547004</v>
      </c>
      <c r="G16" s="141">
        <f>E16-F16</f>
        <v>4579759</v>
      </c>
      <c r="H16" s="141">
        <v>519477</v>
      </c>
      <c r="I16" s="141">
        <f t="shared" ref="I16:I20" si="2">G16-H16</f>
        <v>4060282</v>
      </c>
      <c r="J16" s="84" t="s">
        <v>132</v>
      </c>
      <c r="K16" s="66" t="s">
        <v>133</v>
      </c>
    </row>
    <row r="17" spans="1:12" s="102" customFormat="1" ht="21.95" customHeight="1">
      <c r="A17" s="166"/>
      <c r="C17" s="11" t="s">
        <v>134</v>
      </c>
      <c r="D17" s="83" t="s">
        <v>181</v>
      </c>
      <c r="E17" s="141">
        <f>18855547.9+595601.3</f>
        <v>19451149.199999999</v>
      </c>
      <c r="F17" s="141">
        <f>2539652+205482.5</f>
        <v>2745134.5</v>
      </c>
      <c r="G17" s="141">
        <f>E17-F17</f>
        <v>16706014.699999999</v>
      </c>
      <c r="H17" s="141">
        <f>3265+66320.2</f>
        <v>69585.2</v>
      </c>
      <c r="I17" s="141">
        <f>G17-H17</f>
        <v>16636429.5</v>
      </c>
      <c r="J17" s="84" t="s">
        <v>135</v>
      </c>
      <c r="K17" s="66" t="s">
        <v>136</v>
      </c>
    </row>
    <row r="18" spans="1:12" s="102" customFormat="1" ht="24">
      <c r="A18" s="166"/>
      <c r="C18" s="11" t="s">
        <v>137</v>
      </c>
      <c r="D18" s="83" t="s">
        <v>183</v>
      </c>
      <c r="E18" s="141">
        <v>24377531</v>
      </c>
      <c r="F18" s="141">
        <v>3489271.5</v>
      </c>
      <c r="G18" s="141">
        <f t="shared" ref="G18:G21" si="3">E18-F18</f>
        <v>20888259.5</v>
      </c>
      <c r="H18" s="141">
        <v>20182183.5</v>
      </c>
      <c r="I18" s="141">
        <f t="shared" si="2"/>
        <v>706076</v>
      </c>
      <c r="J18" s="84" t="s">
        <v>138</v>
      </c>
      <c r="K18" s="66" t="s">
        <v>139</v>
      </c>
    </row>
    <row r="19" spans="1:12" s="102" customFormat="1" ht="21.95" customHeight="1">
      <c r="A19" s="166"/>
      <c r="C19" s="11" t="s">
        <v>140</v>
      </c>
      <c r="D19" s="83" t="s">
        <v>141</v>
      </c>
      <c r="E19" s="141">
        <f>'7'!E19+'8'!E19</f>
        <v>13522463.5</v>
      </c>
      <c r="F19" s="141">
        <f>'7'!F19+'8'!F19</f>
        <v>561566.19999999995</v>
      </c>
      <c r="G19" s="141">
        <f t="shared" si="3"/>
        <v>12960897.300000001</v>
      </c>
      <c r="H19" s="141">
        <f>'7'!H19+'8'!H19</f>
        <v>11709538.9</v>
      </c>
      <c r="I19" s="141">
        <f t="shared" si="2"/>
        <v>1251358.4000000004</v>
      </c>
      <c r="J19" s="84" t="s">
        <v>142</v>
      </c>
      <c r="K19" s="66" t="s">
        <v>143</v>
      </c>
    </row>
    <row r="20" spans="1:12" s="102" customFormat="1" ht="21.95" customHeight="1">
      <c r="A20" s="166"/>
      <c r="C20" s="11" t="s">
        <v>144</v>
      </c>
      <c r="D20" s="83" t="s">
        <v>185</v>
      </c>
      <c r="E20" s="141">
        <f>'7'!E20+'8'!E20</f>
        <v>11519378.899999999</v>
      </c>
      <c r="F20" s="141">
        <f>'7'!F20+'8'!F20</f>
        <v>2338552</v>
      </c>
      <c r="G20" s="141">
        <f t="shared" si="3"/>
        <v>9180826.8999999985</v>
      </c>
      <c r="H20" s="141">
        <f>'7'!H20+'8'!H20</f>
        <v>5454998.1999999993</v>
      </c>
      <c r="I20" s="141">
        <f t="shared" si="2"/>
        <v>3725828.6999999993</v>
      </c>
      <c r="J20" s="84" t="s">
        <v>145</v>
      </c>
      <c r="K20" s="66" t="s">
        <v>146</v>
      </c>
    </row>
    <row r="21" spans="1:12" s="102" customFormat="1" ht="24">
      <c r="A21" s="166"/>
      <c r="C21" s="11" t="s">
        <v>147</v>
      </c>
      <c r="D21" s="83" t="s">
        <v>186</v>
      </c>
      <c r="E21" s="141">
        <f>'7'!E21+'8'!E21</f>
        <v>6105826.9000000004</v>
      </c>
      <c r="F21" s="141">
        <f>'7'!F21+'8'!F21</f>
        <v>1650758.1</v>
      </c>
      <c r="G21" s="141">
        <f t="shared" si="3"/>
        <v>4455068.8000000007</v>
      </c>
      <c r="H21" s="141">
        <f>'7'!H21+'8'!H21</f>
        <v>2744934</v>
      </c>
      <c r="I21" s="141">
        <f>G21-H21</f>
        <v>1710134.8000000007</v>
      </c>
      <c r="J21" s="84" t="s">
        <v>148</v>
      </c>
      <c r="K21" s="66" t="s">
        <v>149</v>
      </c>
    </row>
    <row r="22" spans="1:12" s="102" customFormat="1" ht="24">
      <c r="A22" s="166"/>
      <c r="C22" s="11" t="s">
        <v>150</v>
      </c>
      <c r="D22" s="83" t="s">
        <v>187</v>
      </c>
      <c r="E22" s="141">
        <v>98325.7</v>
      </c>
      <c r="F22" s="141">
        <v>0</v>
      </c>
      <c r="G22" s="141">
        <f>E22</f>
        <v>98325.7</v>
      </c>
      <c r="H22" s="141">
        <v>98325.7</v>
      </c>
      <c r="I22" s="141">
        <v>0</v>
      </c>
      <c r="J22" s="84" t="s">
        <v>151</v>
      </c>
      <c r="K22" s="66" t="s">
        <v>152</v>
      </c>
      <c r="L22" s="297">
        <f>G18+G19+G20+G21+G22</f>
        <v>47583378.200000003</v>
      </c>
    </row>
    <row r="23" spans="1:12" s="102" customFormat="1" ht="24.75" thickBot="1">
      <c r="A23" s="166"/>
      <c r="C23" s="71" t="s">
        <v>153</v>
      </c>
      <c r="D23" s="86" t="s">
        <v>194</v>
      </c>
      <c r="E23" s="190" t="s">
        <v>96</v>
      </c>
      <c r="F23" s="190" t="s">
        <v>96</v>
      </c>
      <c r="G23" s="190" t="s">
        <v>96</v>
      </c>
      <c r="H23" s="190" t="s">
        <v>96</v>
      </c>
      <c r="I23" s="190" t="s">
        <v>96</v>
      </c>
      <c r="J23" s="87" t="s">
        <v>154</v>
      </c>
      <c r="K23" s="68" t="s">
        <v>155</v>
      </c>
    </row>
    <row r="24" spans="1:12" s="102" customFormat="1" ht="21" customHeight="1">
      <c r="A24" s="166"/>
      <c r="C24" s="371" t="s">
        <v>25</v>
      </c>
      <c r="D24" s="372"/>
      <c r="E24" s="140">
        <f>E5+E6+E8+E9+E10+E11+E12+E13+E14+E15+E16+E17+E18+E19+E20+E21+E22</f>
        <v>336827289.99999994</v>
      </c>
      <c r="F24" s="140">
        <f>F5+F6+F8+F9+F10+F11+F12+F13+F14+F15+F16+F17+F18+F19+F20+F21</f>
        <v>64743401.000000007</v>
      </c>
      <c r="G24" s="140">
        <f>E24-F24</f>
        <v>272083888.99999994</v>
      </c>
      <c r="H24" s="140">
        <f>H5+H6+H8+H9+H10+H11+H12+H14+H15+H16+H17+H18+H19+H20+H21+H22+H13</f>
        <v>70604373</v>
      </c>
      <c r="I24" s="140">
        <f>I5+I6+I8+I9+I10+I11+I12+I13+I14+I15+I16+I17+I18+I19+I20+I21</f>
        <v>201479516.00000003</v>
      </c>
      <c r="J24" s="372" t="s">
        <v>156</v>
      </c>
      <c r="K24" s="373"/>
    </row>
    <row r="25" spans="1:12" ht="21" customHeight="1">
      <c r="A25" s="165"/>
      <c r="C25" s="374" t="s">
        <v>213</v>
      </c>
      <c r="D25" s="375"/>
      <c r="E25" s="142"/>
      <c r="F25" s="141">
        <v>3165015</v>
      </c>
      <c r="G25" s="141" t="s">
        <v>258</v>
      </c>
      <c r="H25" s="142"/>
      <c r="I25" s="141" t="s">
        <v>258</v>
      </c>
      <c r="J25" s="375" t="s">
        <v>259</v>
      </c>
      <c r="K25" s="394"/>
    </row>
    <row r="26" spans="1:12" ht="24.95" customHeight="1" thickBot="1">
      <c r="A26" s="167"/>
      <c r="C26" s="391" t="s">
        <v>73</v>
      </c>
      <c r="D26" s="389"/>
      <c r="E26" s="143">
        <f>E24</f>
        <v>336827289.99999994</v>
      </c>
      <c r="F26" s="143">
        <f>F24+F25</f>
        <v>67908416</v>
      </c>
      <c r="G26" s="143">
        <f>G24-F25</f>
        <v>268918873.99999994</v>
      </c>
      <c r="H26" s="143">
        <f>H24</f>
        <v>70604373</v>
      </c>
      <c r="I26" s="143">
        <f>I24-F25</f>
        <v>198314501.00000003</v>
      </c>
      <c r="J26" s="389" t="s">
        <v>158</v>
      </c>
      <c r="K26" s="390"/>
    </row>
    <row r="27" spans="1:12" ht="24.75" customHeight="1" thickTop="1">
      <c r="A27" s="167">
        <v>11</v>
      </c>
      <c r="C27" s="369" t="s">
        <v>204</v>
      </c>
      <c r="D27" s="369"/>
      <c r="G27" s="58"/>
      <c r="I27" s="58"/>
    </row>
    <row r="28" spans="1:12" ht="24.75" customHeight="1">
      <c r="A28" s="165"/>
      <c r="E28" s="58"/>
      <c r="F28" s="58"/>
      <c r="G28" s="58"/>
      <c r="H28" s="58"/>
      <c r="I28" s="58"/>
    </row>
    <row r="29" spans="1:12">
      <c r="A29" s="165"/>
      <c r="E29" s="67"/>
      <c r="F29" s="67"/>
      <c r="G29" s="58"/>
      <c r="H29" s="67"/>
      <c r="I29" s="67"/>
    </row>
    <row r="30" spans="1:12">
      <c r="A30" s="165"/>
      <c r="E30" s="58"/>
      <c r="F30" s="58"/>
      <c r="G30" s="58"/>
      <c r="H30" s="152"/>
      <c r="I30" s="152"/>
    </row>
    <row r="31" spans="1:12">
      <c r="A31" s="165"/>
      <c r="G31" s="58"/>
      <c r="H31" s="58"/>
      <c r="I31" s="58"/>
    </row>
    <row r="32" spans="1:12">
      <c r="A32" s="165"/>
      <c r="E32" s="67"/>
      <c r="F32" s="67"/>
      <c r="G32" s="67"/>
      <c r="H32" s="67"/>
      <c r="I32" s="67"/>
    </row>
    <row r="33" spans="1:9">
      <c r="A33" s="165"/>
      <c r="G33" s="58"/>
      <c r="H33" s="58"/>
      <c r="I33" s="58"/>
    </row>
    <row r="34" spans="1:9">
      <c r="A34" s="165"/>
      <c r="E34" s="58"/>
      <c r="F34" s="58"/>
      <c r="G34" s="58"/>
      <c r="H34" s="58"/>
      <c r="I34" s="58"/>
    </row>
    <row r="35" spans="1:9">
      <c r="A35" s="165"/>
      <c r="E35" s="58"/>
      <c r="F35" s="58"/>
      <c r="G35" s="58"/>
      <c r="H35" s="58"/>
      <c r="I35" s="58"/>
    </row>
    <row r="36" spans="1:9">
      <c r="E36" s="58"/>
      <c r="F36" s="58"/>
      <c r="G36" s="58"/>
      <c r="H36" s="58"/>
      <c r="I36" s="58"/>
    </row>
    <row r="37" spans="1:9">
      <c r="E37" s="58"/>
      <c r="F37" s="58"/>
      <c r="G37" s="58"/>
      <c r="H37" s="58"/>
      <c r="I37" s="58"/>
    </row>
    <row r="38" spans="1:9">
      <c r="E38" s="58"/>
      <c r="F38" s="58"/>
      <c r="G38" s="58"/>
      <c r="H38" s="58"/>
      <c r="I38" s="58"/>
    </row>
    <row r="39" spans="1:9">
      <c r="E39" s="58"/>
      <c r="F39" s="58"/>
      <c r="G39" s="58"/>
      <c r="H39" s="58"/>
      <c r="I39" s="58"/>
    </row>
  </sheetData>
  <mergeCells count="14">
    <mergeCell ref="C27:D27"/>
    <mergeCell ref="A1:A8"/>
    <mergeCell ref="C24:D24"/>
    <mergeCell ref="C25:D25"/>
    <mergeCell ref="J26:K26"/>
    <mergeCell ref="C26:D26"/>
    <mergeCell ref="C1:K1"/>
    <mergeCell ref="C2:K2"/>
    <mergeCell ref="J24:K24"/>
    <mergeCell ref="J25:K25"/>
    <mergeCell ref="C3:C4"/>
    <mergeCell ref="D3:D4"/>
    <mergeCell ref="J3:J4"/>
    <mergeCell ref="K3:K4"/>
  </mergeCells>
  <phoneticPr fontId="2" type="noConversion"/>
  <printOptions horizontalCentered="1" verticalCentered="1"/>
  <pageMargins left="0.15748031496063" right="0.23622047244094499" top="0.31496062992126" bottom="0.31496062992126" header="0.196850393700787" footer="0.23622047244094499"/>
  <pageSetup paperSize="9" scale="85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33"/>
  <sheetViews>
    <sheetView rightToLeft="1" view="pageBreakPreview" topLeftCell="A13" zoomScaleSheetLayoutView="100" workbookViewId="0">
      <selection activeCell="A8" sqref="A8"/>
    </sheetView>
  </sheetViews>
  <sheetFormatPr defaultRowHeight="12.75"/>
  <cols>
    <col min="1" max="1" width="6.42578125" style="1" customWidth="1"/>
    <col min="2" max="2" width="4.140625" style="1" customWidth="1"/>
    <col min="3" max="3" width="5.85546875" style="1" customWidth="1"/>
    <col min="4" max="4" width="24.5703125" style="1" customWidth="1"/>
    <col min="5" max="5" width="18.28515625" style="1" customWidth="1"/>
    <col min="6" max="6" width="17.5703125" style="1" customWidth="1"/>
    <col min="7" max="9" width="18" style="1" customWidth="1"/>
    <col min="10" max="10" width="37.85546875" style="1" customWidth="1"/>
    <col min="11" max="11" width="5.7109375" style="1" customWidth="1"/>
    <col min="12" max="16384" width="9.140625" style="1"/>
  </cols>
  <sheetData>
    <row r="1" spans="1:11" s="91" customFormat="1" ht="33" customHeight="1">
      <c r="A1" s="353" t="s">
        <v>201</v>
      </c>
      <c r="C1" s="392" t="s">
        <v>246</v>
      </c>
      <c r="D1" s="392"/>
      <c r="E1" s="392"/>
      <c r="F1" s="392"/>
      <c r="G1" s="392"/>
      <c r="H1" s="392"/>
      <c r="I1" s="392"/>
      <c r="J1" s="392"/>
      <c r="K1" s="392"/>
    </row>
    <row r="2" spans="1:11" s="91" customFormat="1" ht="33" customHeight="1" thickBot="1">
      <c r="A2" s="353"/>
      <c r="C2" s="393" t="s">
        <v>247</v>
      </c>
      <c r="D2" s="393"/>
      <c r="E2" s="393"/>
      <c r="F2" s="393"/>
      <c r="G2" s="393"/>
      <c r="H2" s="393"/>
      <c r="I2" s="393"/>
      <c r="J2" s="393"/>
      <c r="K2" s="393"/>
    </row>
    <row r="3" spans="1:11" ht="24.95" customHeight="1" thickTop="1">
      <c r="A3" s="353"/>
      <c r="C3" s="362" t="s">
        <v>44</v>
      </c>
      <c r="D3" s="362" t="s">
        <v>180</v>
      </c>
      <c r="E3" s="214" t="s">
        <v>62</v>
      </c>
      <c r="F3" s="214" t="s">
        <v>63</v>
      </c>
      <c r="G3" s="192" t="s">
        <v>64</v>
      </c>
      <c r="H3" s="192" t="s">
        <v>33</v>
      </c>
      <c r="I3" s="192" t="s">
        <v>35</v>
      </c>
      <c r="J3" s="383" t="s">
        <v>97</v>
      </c>
      <c r="K3" s="383" t="s">
        <v>98</v>
      </c>
    </row>
    <row r="4" spans="1:11" ht="24.95" customHeight="1" thickBot="1">
      <c r="A4" s="353"/>
      <c r="C4" s="363"/>
      <c r="D4" s="363"/>
      <c r="E4" s="94" t="s">
        <v>65</v>
      </c>
      <c r="F4" s="94" t="s">
        <v>66</v>
      </c>
      <c r="G4" s="193" t="s">
        <v>67</v>
      </c>
      <c r="H4" s="94" t="s">
        <v>32</v>
      </c>
      <c r="I4" s="94" t="s">
        <v>68</v>
      </c>
      <c r="J4" s="384"/>
      <c r="K4" s="384"/>
    </row>
    <row r="5" spans="1:11" ht="21.75" customHeight="1">
      <c r="A5" s="353"/>
      <c r="C5" s="9" t="s">
        <v>99</v>
      </c>
      <c r="D5" s="303" t="s">
        <v>179</v>
      </c>
      <c r="E5" s="140">
        <v>320707</v>
      </c>
      <c r="F5" s="140">
        <v>240411.3</v>
      </c>
      <c r="G5" s="140">
        <f>E5-F5</f>
        <v>80295.700000000012</v>
      </c>
      <c r="H5" s="140">
        <v>35763.300000000003</v>
      </c>
      <c r="I5" s="140">
        <f>G5-H5</f>
        <v>44532.400000000009</v>
      </c>
      <c r="J5" s="82" t="s">
        <v>100</v>
      </c>
      <c r="K5" s="65" t="s">
        <v>101</v>
      </c>
    </row>
    <row r="6" spans="1:11" ht="21.75" customHeight="1">
      <c r="A6" s="353"/>
      <c r="C6" s="11" t="s">
        <v>102</v>
      </c>
      <c r="D6" s="83" t="s">
        <v>103</v>
      </c>
      <c r="E6" s="141">
        <v>0</v>
      </c>
      <c r="F6" s="141">
        <v>0</v>
      </c>
      <c r="G6" s="141">
        <v>0</v>
      </c>
      <c r="H6" s="141">
        <v>0</v>
      </c>
      <c r="I6" s="141">
        <v>0</v>
      </c>
      <c r="J6" s="84" t="s">
        <v>104</v>
      </c>
      <c r="K6" s="66" t="s">
        <v>105</v>
      </c>
    </row>
    <row r="7" spans="1:11" ht="21.75" customHeight="1">
      <c r="A7" s="353"/>
      <c r="C7" s="11" t="s">
        <v>106</v>
      </c>
      <c r="D7" s="83" t="s">
        <v>50</v>
      </c>
      <c r="E7" s="141">
        <f>E8+E9</f>
        <v>125000924.3</v>
      </c>
      <c r="F7" s="141">
        <f>F8+F9</f>
        <v>4788552.9000000004</v>
      </c>
      <c r="G7" s="141">
        <f>E7-F7</f>
        <v>120212371.39999999</v>
      </c>
      <c r="H7" s="141">
        <f>H8+H9</f>
        <v>2904734.6999999997</v>
      </c>
      <c r="I7" s="141">
        <f>G7-H7</f>
        <v>117307636.69999999</v>
      </c>
      <c r="J7" s="84" t="s">
        <v>51</v>
      </c>
      <c r="K7" s="66" t="s">
        <v>107</v>
      </c>
    </row>
    <row r="8" spans="1:11" ht="21.75" customHeight="1">
      <c r="A8" s="353"/>
      <c r="C8" s="11"/>
      <c r="D8" s="83" t="s">
        <v>108</v>
      </c>
      <c r="E8" s="141">
        <v>124956773</v>
      </c>
      <c r="F8" s="141">
        <v>4782450.9000000004</v>
      </c>
      <c r="G8" s="141">
        <f t="shared" ref="G8:G13" si="0">E8-F8</f>
        <v>120174322.09999999</v>
      </c>
      <c r="H8" s="141">
        <v>2862898.4</v>
      </c>
      <c r="I8" s="141">
        <f t="shared" ref="I8:I14" si="1">G8-H8</f>
        <v>117311423.69999999</v>
      </c>
      <c r="J8" s="84" t="s">
        <v>109</v>
      </c>
      <c r="K8" s="66"/>
    </row>
    <row r="9" spans="1:11" ht="21.75" customHeight="1">
      <c r="A9" s="353"/>
      <c r="C9" s="11"/>
      <c r="D9" s="83" t="s">
        <v>110</v>
      </c>
      <c r="E9" s="141">
        <v>44151.3</v>
      </c>
      <c r="F9" s="141">
        <v>6102</v>
      </c>
      <c r="G9" s="141">
        <f t="shared" si="0"/>
        <v>38049.300000000003</v>
      </c>
      <c r="H9" s="141">
        <v>41836.300000000003</v>
      </c>
      <c r="I9" s="141">
        <f>G9-H9</f>
        <v>-3787</v>
      </c>
      <c r="J9" s="85" t="s">
        <v>111</v>
      </c>
      <c r="K9" s="66"/>
    </row>
    <row r="10" spans="1:11" s="102" customFormat="1" ht="21.75" customHeight="1">
      <c r="A10" s="166"/>
      <c r="C10" s="11" t="s">
        <v>112</v>
      </c>
      <c r="D10" s="83" t="s">
        <v>193</v>
      </c>
      <c r="E10" s="141">
        <v>4774760.0999999996</v>
      </c>
      <c r="F10" s="141">
        <v>2077054.1</v>
      </c>
      <c r="G10" s="141">
        <f>E10-F10</f>
        <v>2697705.9999999995</v>
      </c>
      <c r="H10" s="141">
        <v>1180948.3</v>
      </c>
      <c r="I10" s="141">
        <f t="shared" si="1"/>
        <v>1516757.6999999995</v>
      </c>
      <c r="J10" s="84" t="s">
        <v>59</v>
      </c>
      <c r="K10" s="66" t="s">
        <v>113</v>
      </c>
    </row>
    <row r="11" spans="1:11" s="102" customFormat="1" ht="21.75" customHeight="1">
      <c r="A11" s="166"/>
      <c r="C11" s="11" t="s">
        <v>114</v>
      </c>
      <c r="D11" s="83" t="s">
        <v>115</v>
      </c>
      <c r="E11" s="141">
        <v>7999655</v>
      </c>
      <c r="F11" s="141">
        <v>2270440.2000000002</v>
      </c>
      <c r="G11" s="141">
        <f t="shared" si="0"/>
        <v>5729214.7999999998</v>
      </c>
      <c r="H11" s="141">
        <v>1265404.5</v>
      </c>
      <c r="I11" s="141">
        <f>G11-H11</f>
        <v>4463810.3</v>
      </c>
      <c r="J11" s="84" t="s">
        <v>116</v>
      </c>
      <c r="K11" s="66" t="s">
        <v>117</v>
      </c>
    </row>
    <row r="12" spans="1:11" s="102" customFormat="1" ht="21.75" customHeight="1">
      <c r="A12" s="166"/>
      <c r="C12" s="11" t="s">
        <v>118</v>
      </c>
      <c r="D12" s="83" t="s">
        <v>2</v>
      </c>
      <c r="E12" s="141">
        <v>638127.69999999995</v>
      </c>
      <c r="F12" s="141">
        <v>306359.8</v>
      </c>
      <c r="G12" s="141">
        <f t="shared" si="0"/>
        <v>331767.89999999997</v>
      </c>
      <c r="H12" s="141">
        <v>236996.9</v>
      </c>
      <c r="I12" s="141">
        <f t="shared" si="1"/>
        <v>94770.999999999971</v>
      </c>
      <c r="J12" s="84" t="s">
        <v>119</v>
      </c>
      <c r="K12" s="66" t="s">
        <v>120</v>
      </c>
    </row>
    <row r="13" spans="1:11" s="102" customFormat="1" ht="36" customHeight="1">
      <c r="A13" s="166"/>
      <c r="C13" s="11" t="s">
        <v>121</v>
      </c>
      <c r="D13" s="83" t="s">
        <v>184</v>
      </c>
      <c r="E13" s="141">
        <v>7621308.7999999998</v>
      </c>
      <c r="F13" s="141">
        <v>434423.5</v>
      </c>
      <c r="G13" s="141">
        <f t="shared" si="0"/>
        <v>7186885.2999999998</v>
      </c>
      <c r="H13" s="141">
        <v>719846.2</v>
      </c>
      <c r="I13" s="141">
        <f>G13-H13</f>
        <v>6467039.0999999996</v>
      </c>
      <c r="J13" s="84" t="s">
        <v>122</v>
      </c>
      <c r="K13" s="66" t="s">
        <v>123</v>
      </c>
    </row>
    <row r="14" spans="1:11" s="102" customFormat="1" ht="19.5" customHeight="1">
      <c r="A14" s="166"/>
      <c r="C14" s="11" t="s">
        <v>124</v>
      </c>
      <c r="D14" s="83" t="s">
        <v>125</v>
      </c>
      <c r="E14" s="141">
        <f>5096.6</f>
        <v>5096.6000000000004</v>
      </c>
      <c r="F14" s="141">
        <v>1401.6</v>
      </c>
      <c r="G14" s="141">
        <f>E14-F14</f>
        <v>3695.0000000000005</v>
      </c>
      <c r="H14" s="141">
        <v>724.2</v>
      </c>
      <c r="I14" s="141">
        <f t="shared" si="1"/>
        <v>2970.8</v>
      </c>
      <c r="J14" s="84" t="s">
        <v>126</v>
      </c>
      <c r="K14" s="66" t="s">
        <v>127</v>
      </c>
    </row>
    <row r="15" spans="1:11" s="102" customFormat="1" ht="23.25" customHeight="1">
      <c r="A15" s="166"/>
      <c r="C15" s="11" t="s">
        <v>128</v>
      </c>
      <c r="D15" s="83" t="s">
        <v>286</v>
      </c>
      <c r="E15" s="141">
        <v>2132534.4</v>
      </c>
      <c r="F15" s="141">
        <v>624053.69999999995</v>
      </c>
      <c r="G15" s="141">
        <f>E15-F15</f>
        <v>1508480.7</v>
      </c>
      <c r="H15" s="141">
        <v>756466.5</v>
      </c>
      <c r="I15" s="141">
        <f>G15-H15</f>
        <v>752014.2</v>
      </c>
      <c r="J15" s="84" t="s">
        <v>129</v>
      </c>
      <c r="K15" s="66" t="s">
        <v>130</v>
      </c>
    </row>
    <row r="16" spans="1:11" s="102" customFormat="1" ht="21.75" customHeight="1">
      <c r="A16" s="166"/>
      <c r="C16" s="11" t="s">
        <v>131</v>
      </c>
      <c r="D16" s="83" t="s">
        <v>191</v>
      </c>
      <c r="E16" s="141">
        <f>4430108</f>
        <v>4430108</v>
      </c>
      <c r="F16" s="141">
        <v>313928</v>
      </c>
      <c r="G16" s="141">
        <f>E16-F16</f>
        <v>4116180</v>
      </c>
      <c r="H16" s="141">
        <v>334660</v>
      </c>
      <c r="I16" s="141">
        <f>G16-H16</f>
        <v>3781520</v>
      </c>
      <c r="J16" s="84" t="s">
        <v>132</v>
      </c>
      <c r="K16" s="66" t="s">
        <v>133</v>
      </c>
    </row>
    <row r="17" spans="1:11" s="102" customFormat="1" ht="25.5" customHeight="1">
      <c r="A17" s="166"/>
      <c r="C17" s="11" t="s">
        <v>134</v>
      </c>
      <c r="D17" s="83" t="s">
        <v>181</v>
      </c>
      <c r="E17" s="141">
        <v>0</v>
      </c>
      <c r="F17" s="141">
        <v>0</v>
      </c>
      <c r="G17" s="141">
        <v>0</v>
      </c>
      <c r="H17" s="141">
        <v>0</v>
      </c>
      <c r="I17" s="141">
        <v>0</v>
      </c>
      <c r="J17" s="84" t="s">
        <v>135</v>
      </c>
      <c r="K17" s="66" t="s">
        <v>136</v>
      </c>
    </row>
    <row r="18" spans="1:11" s="102" customFormat="1" ht="38.25" customHeight="1">
      <c r="A18" s="166"/>
      <c r="C18" s="11" t="s">
        <v>137</v>
      </c>
      <c r="D18" s="83" t="s">
        <v>183</v>
      </c>
      <c r="E18" s="141">
        <v>24377531</v>
      </c>
      <c r="F18" s="141">
        <v>3489271.5</v>
      </c>
      <c r="G18" s="141">
        <f>E18-F18</f>
        <v>20888259.5</v>
      </c>
      <c r="H18" s="141">
        <v>20182183.5</v>
      </c>
      <c r="I18" s="141">
        <f>G18-H18</f>
        <v>706076</v>
      </c>
      <c r="J18" s="84" t="s">
        <v>138</v>
      </c>
      <c r="K18" s="66" t="s">
        <v>139</v>
      </c>
    </row>
    <row r="19" spans="1:11" s="102" customFormat="1" ht="21.75" customHeight="1">
      <c r="A19" s="166"/>
      <c r="C19" s="11" t="s">
        <v>140</v>
      </c>
      <c r="D19" s="83" t="s">
        <v>141</v>
      </c>
      <c r="E19" s="141">
        <v>11893679.5</v>
      </c>
      <c r="F19" s="141">
        <v>154370.20000000001</v>
      </c>
      <c r="G19" s="141">
        <f>E19-F19</f>
        <v>11739309.300000001</v>
      </c>
      <c r="H19" s="141">
        <v>11343062.5</v>
      </c>
      <c r="I19" s="141">
        <f>G19-H19</f>
        <v>396246.80000000075</v>
      </c>
      <c r="J19" s="84" t="s">
        <v>142</v>
      </c>
      <c r="K19" s="66" t="s">
        <v>143</v>
      </c>
    </row>
    <row r="20" spans="1:11" s="102" customFormat="1" ht="21.75" customHeight="1">
      <c r="A20" s="166"/>
      <c r="C20" s="11" t="s">
        <v>144</v>
      </c>
      <c r="D20" s="83" t="s">
        <v>185</v>
      </c>
      <c r="E20" s="141">
        <v>4679023.8</v>
      </c>
      <c r="F20" s="141">
        <v>628463.19999999995</v>
      </c>
      <c r="G20" s="141">
        <f>E20-F20</f>
        <v>4050560.5999999996</v>
      </c>
      <c r="H20" s="141">
        <v>3915918.3</v>
      </c>
      <c r="I20" s="141">
        <f>G20-H20</f>
        <v>134642.29999999981</v>
      </c>
      <c r="J20" s="84" t="s">
        <v>145</v>
      </c>
      <c r="K20" s="66" t="s">
        <v>146</v>
      </c>
    </row>
    <row r="21" spans="1:11" s="102" customFormat="1" ht="24.75" customHeight="1">
      <c r="A21" s="166"/>
      <c r="C21" s="11" t="s">
        <v>147</v>
      </c>
      <c r="D21" s="83" t="s">
        <v>186</v>
      </c>
      <c r="E21" s="141">
        <v>3154458.3</v>
      </c>
      <c r="F21" s="141">
        <v>912915.9</v>
      </c>
      <c r="G21" s="141">
        <f>E21-F21</f>
        <v>2241542.4</v>
      </c>
      <c r="H21" s="141">
        <v>2080876.1</v>
      </c>
      <c r="I21" s="141">
        <f>G21-H21</f>
        <v>160666.29999999981</v>
      </c>
      <c r="J21" s="84" t="s">
        <v>148</v>
      </c>
      <c r="K21" s="66" t="s">
        <v>149</v>
      </c>
    </row>
    <row r="22" spans="1:11" s="102" customFormat="1" ht="25.5" customHeight="1">
      <c r="A22" s="166"/>
      <c r="C22" s="11" t="s">
        <v>150</v>
      </c>
      <c r="D22" s="83" t="s">
        <v>187</v>
      </c>
      <c r="E22" s="141">
        <v>0</v>
      </c>
      <c r="F22" s="141">
        <v>0</v>
      </c>
      <c r="G22" s="141">
        <v>0</v>
      </c>
      <c r="H22" s="141">
        <v>0</v>
      </c>
      <c r="I22" s="141">
        <v>0</v>
      </c>
      <c r="J22" s="84" t="s">
        <v>151</v>
      </c>
      <c r="K22" s="66" t="s">
        <v>152</v>
      </c>
    </row>
    <row r="23" spans="1:11" s="102" customFormat="1" ht="23.25" customHeight="1" thickBot="1">
      <c r="A23" s="166"/>
      <c r="C23" s="124" t="s">
        <v>153</v>
      </c>
      <c r="D23" s="86" t="s">
        <v>188</v>
      </c>
      <c r="E23" s="190" t="s">
        <v>96</v>
      </c>
      <c r="F23" s="190" t="s">
        <v>96</v>
      </c>
      <c r="G23" s="190" t="s">
        <v>96</v>
      </c>
      <c r="H23" s="190" t="s">
        <v>96</v>
      </c>
      <c r="I23" s="190" t="s">
        <v>96</v>
      </c>
      <c r="J23" s="87" t="s">
        <v>154</v>
      </c>
      <c r="K23" s="68" t="s">
        <v>155</v>
      </c>
    </row>
    <row r="24" spans="1:11" ht="21.75" customHeight="1" thickBot="1">
      <c r="A24" s="165"/>
      <c r="C24" s="388" t="s">
        <v>25</v>
      </c>
      <c r="D24" s="386"/>
      <c r="E24" s="144">
        <f>E5+E8+E9+E10+E11+E12+E13+E15+E16+E18+E19+E20+E21+E14</f>
        <v>197027914.5</v>
      </c>
      <c r="F24" s="144">
        <f>F5+F8+F9+F10+F11+F12+F13+F15+F16+F18+F19+F20+F21+F14</f>
        <v>16241645.899999999</v>
      </c>
      <c r="G24" s="144">
        <f>G5+G8+G9+G10+G11+G12+G13+G14+G15+G16+G18+G19+G20+G21</f>
        <v>180786268.59999999</v>
      </c>
      <c r="H24" s="144">
        <f>H5+H8+H9+H10+H11+H12+H13+H14+H15+H16+H18+H19+H20+H21</f>
        <v>44957585</v>
      </c>
      <c r="I24" s="144">
        <f>I5+I8+I9+I10+I11+I12+I13+I14+I15+I16+I18+I19+I20+I21</f>
        <v>135828683.60000002</v>
      </c>
      <c r="J24" s="386" t="s">
        <v>156</v>
      </c>
      <c r="K24" s="387"/>
    </row>
    <row r="25" spans="1:11" ht="18" thickTop="1">
      <c r="A25" s="168">
        <v>12</v>
      </c>
      <c r="C25" s="369" t="s">
        <v>204</v>
      </c>
      <c r="D25" s="369"/>
      <c r="E25" s="72"/>
      <c r="F25" s="72"/>
      <c r="G25" s="101"/>
      <c r="H25" s="72"/>
      <c r="I25" s="101"/>
      <c r="J25" s="72"/>
      <c r="K25" s="72"/>
    </row>
    <row r="26" spans="1:11" ht="33" customHeight="1">
      <c r="A26" s="165"/>
      <c r="E26" s="58"/>
      <c r="F26" s="58"/>
      <c r="G26" s="58"/>
      <c r="H26" s="58"/>
      <c r="I26" s="58"/>
    </row>
    <row r="27" spans="1:11">
      <c r="E27" s="67"/>
      <c r="F27" s="67"/>
      <c r="G27" s="58"/>
      <c r="H27" s="67"/>
      <c r="I27" s="67"/>
    </row>
    <row r="28" spans="1:11" ht="23.25" customHeight="1">
      <c r="E28" s="123"/>
      <c r="F28" s="123"/>
      <c r="G28" s="123"/>
      <c r="H28" s="123"/>
      <c r="I28" s="123"/>
    </row>
    <row r="29" spans="1:11">
      <c r="E29" s="58"/>
      <c r="F29" s="58"/>
      <c r="G29" s="58"/>
      <c r="H29" s="58"/>
      <c r="I29" s="58"/>
    </row>
    <row r="30" spans="1:11" ht="31.5" customHeight="1">
      <c r="E30" s="177"/>
      <c r="F30" s="177"/>
      <c r="G30" s="177"/>
      <c r="H30" s="177"/>
      <c r="I30" s="177"/>
    </row>
    <row r="31" spans="1:11">
      <c r="E31" s="73"/>
      <c r="F31" s="73"/>
      <c r="G31" s="73"/>
      <c r="H31" s="73"/>
      <c r="I31" s="73"/>
    </row>
    <row r="33" spans="5:9">
      <c r="E33" s="58"/>
      <c r="F33" s="58"/>
      <c r="G33" s="58"/>
      <c r="H33" s="58"/>
      <c r="I33" s="58"/>
    </row>
  </sheetData>
  <mergeCells count="10">
    <mergeCell ref="C25:D25"/>
    <mergeCell ref="A1:A9"/>
    <mergeCell ref="C1:K1"/>
    <mergeCell ref="C2:K2"/>
    <mergeCell ref="J24:K24"/>
    <mergeCell ref="C3:C4"/>
    <mergeCell ref="D3:D4"/>
    <mergeCell ref="J3:J4"/>
    <mergeCell ref="K3:K4"/>
    <mergeCell ref="C24:D24"/>
  </mergeCells>
  <phoneticPr fontId="2" type="noConversion"/>
  <printOptions horizontalCentered="1" verticalCentered="1"/>
  <pageMargins left="0.15748031496063" right="0.23622047244094499" top="0.35433070866141703" bottom="0.27559055118110198" header="0.196850393700787" footer="0.196850393700787"/>
  <pageSetup paperSize="9" scale="8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M79"/>
  <sheetViews>
    <sheetView rightToLeft="1" view="pageBreakPreview" topLeftCell="A10" zoomScaleSheetLayoutView="100" workbookViewId="0">
      <selection sqref="A1:A9"/>
    </sheetView>
  </sheetViews>
  <sheetFormatPr defaultRowHeight="12.75"/>
  <cols>
    <col min="1" max="1" width="5.28515625" style="1" customWidth="1"/>
    <col min="2" max="2" width="3.85546875" style="1" customWidth="1"/>
    <col min="3" max="3" width="5.42578125" style="1" customWidth="1"/>
    <col min="4" max="4" width="24.5703125" style="1" customWidth="1"/>
    <col min="5" max="9" width="16.85546875" style="1" customWidth="1"/>
    <col min="10" max="10" width="39.42578125" style="1" customWidth="1"/>
    <col min="11" max="11" width="5.7109375" style="1" customWidth="1"/>
    <col min="12" max="16384" width="9.140625" style="1"/>
  </cols>
  <sheetData>
    <row r="1" spans="1:13" s="91" customFormat="1" ht="33" customHeight="1">
      <c r="A1" s="353" t="s">
        <v>201</v>
      </c>
      <c r="C1" s="392" t="s">
        <v>244</v>
      </c>
      <c r="D1" s="392"/>
      <c r="E1" s="392"/>
      <c r="F1" s="392"/>
      <c r="G1" s="392"/>
      <c r="H1" s="392"/>
      <c r="I1" s="392"/>
      <c r="J1" s="392"/>
      <c r="K1" s="392"/>
    </row>
    <row r="2" spans="1:13" s="91" customFormat="1" ht="33" customHeight="1" thickBot="1">
      <c r="A2" s="353"/>
      <c r="C2" s="393" t="s">
        <v>245</v>
      </c>
      <c r="D2" s="393"/>
      <c r="E2" s="393"/>
      <c r="F2" s="393"/>
      <c r="G2" s="393"/>
      <c r="H2" s="393"/>
      <c r="I2" s="393"/>
      <c r="J2" s="393"/>
      <c r="K2" s="393"/>
    </row>
    <row r="3" spans="1:13" ht="24.95" customHeight="1" thickTop="1">
      <c r="A3" s="353"/>
      <c r="C3" s="362" t="s">
        <v>44</v>
      </c>
      <c r="D3" s="362" t="s">
        <v>192</v>
      </c>
      <c r="E3" s="214" t="s">
        <v>62</v>
      </c>
      <c r="F3" s="214" t="s">
        <v>63</v>
      </c>
      <c r="G3" s="192" t="s">
        <v>64</v>
      </c>
      <c r="H3" s="192" t="s">
        <v>33</v>
      </c>
      <c r="I3" s="192" t="s">
        <v>35</v>
      </c>
      <c r="J3" s="383" t="s">
        <v>97</v>
      </c>
      <c r="K3" s="383" t="s">
        <v>98</v>
      </c>
    </row>
    <row r="4" spans="1:13" ht="24.95" customHeight="1" thickBot="1">
      <c r="A4" s="353"/>
      <c r="C4" s="363"/>
      <c r="D4" s="363"/>
      <c r="E4" s="94" t="s">
        <v>65</v>
      </c>
      <c r="F4" s="94" t="s">
        <v>66</v>
      </c>
      <c r="G4" s="193" t="s">
        <v>67</v>
      </c>
      <c r="H4" s="94" t="s">
        <v>32</v>
      </c>
      <c r="I4" s="94" t="s">
        <v>68</v>
      </c>
      <c r="J4" s="384"/>
      <c r="K4" s="384"/>
    </row>
    <row r="5" spans="1:13" ht="21.75" customHeight="1">
      <c r="A5" s="353"/>
      <c r="B5" s="102"/>
      <c r="C5" s="9" t="s">
        <v>99</v>
      </c>
      <c r="D5" s="303" t="s">
        <v>179</v>
      </c>
      <c r="E5" s="141">
        <v>9680195.3000000007</v>
      </c>
      <c r="F5" s="141">
        <v>2539587</v>
      </c>
      <c r="G5" s="141">
        <f>E5-F5</f>
        <v>7140608.3000000007</v>
      </c>
      <c r="H5" s="141">
        <v>2456774.7000000002</v>
      </c>
      <c r="I5" s="141">
        <f>G5-H5</f>
        <v>4683833.6000000006</v>
      </c>
      <c r="J5" s="82" t="s">
        <v>100</v>
      </c>
      <c r="K5" s="65" t="s">
        <v>101</v>
      </c>
    </row>
    <row r="6" spans="1:13" ht="21.75" customHeight="1">
      <c r="A6" s="353"/>
      <c r="B6" s="102"/>
      <c r="C6" s="11" t="s">
        <v>102</v>
      </c>
      <c r="D6" s="83" t="s">
        <v>103</v>
      </c>
      <c r="E6" s="141">
        <v>412105.5</v>
      </c>
      <c r="F6" s="141">
        <v>60744.4</v>
      </c>
      <c r="G6" s="141">
        <f>E6-F6</f>
        <v>351361.1</v>
      </c>
      <c r="H6" s="141">
        <v>120868.2</v>
      </c>
      <c r="I6" s="141">
        <f>G6-H6</f>
        <v>230492.89999999997</v>
      </c>
      <c r="J6" s="84" t="s">
        <v>104</v>
      </c>
      <c r="K6" s="66" t="s">
        <v>105</v>
      </c>
    </row>
    <row r="7" spans="1:13" ht="21.75" customHeight="1">
      <c r="A7" s="353"/>
      <c r="B7" s="102"/>
      <c r="C7" s="11" t="s">
        <v>106</v>
      </c>
      <c r="D7" s="83" t="s">
        <v>50</v>
      </c>
      <c r="E7" s="141">
        <f>E8+E9</f>
        <v>652312.80000000005</v>
      </c>
      <c r="F7" s="141">
        <f>F8+F9</f>
        <v>248466</v>
      </c>
      <c r="G7" s="141">
        <f>E7-F7</f>
        <v>403846.80000000005</v>
      </c>
      <c r="H7" s="141">
        <f>H8+H9</f>
        <v>69017.399999999994</v>
      </c>
      <c r="I7" s="141">
        <f>G7-H7</f>
        <v>334829.40000000002</v>
      </c>
      <c r="J7" s="84" t="s">
        <v>51</v>
      </c>
      <c r="K7" s="66" t="s">
        <v>107</v>
      </c>
    </row>
    <row r="8" spans="1:13" ht="21.75" customHeight="1">
      <c r="A8" s="353"/>
      <c r="B8" s="102"/>
      <c r="C8" s="11"/>
      <c r="D8" s="83" t="s">
        <v>108</v>
      </c>
      <c r="E8" s="141">
        <v>0</v>
      </c>
      <c r="F8" s="141">
        <v>0</v>
      </c>
      <c r="G8" s="141">
        <v>0</v>
      </c>
      <c r="H8" s="141">
        <v>0</v>
      </c>
      <c r="I8" s="141">
        <v>0</v>
      </c>
      <c r="J8" s="84" t="s">
        <v>109</v>
      </c>
      <c r="K8" s="66"/>
    </row>
    <row r="9" spans="1:13" ht="21.75" customHeight="1">
      <c r="A9" s="353"/>
      <c r="B9" s="102"/>
      <c r="C9" s="11"/>
      <c r="D9" s="83" t="s">
        <v>110</v>
      </c>
      <c r="E9" s="141">
        <v>652312.80000000005</v>
      </c>
      <c r="F9" s="141">
        <v>248466</v>
      </c>
      <c r="G9" s="141">
        <f t="shared" ref="G9:G12" si="0">E9-F9</f>
        <v>403846.80000000005</v>
      </c>
      <c r="H9" s="141">
        <v>69017.399999999994</v>
      </c>
      <c r="I9" s="141">
        <f t="shared" ref="I9:I17" si="1">G9-H9</f>
        <v>334829.40000000002</v>
      </c>
      <c r="J9" s="85" t="s">
        <v>111</v>
      </c>
      <c r="K9" s="66"/>
    </row>
    <row r="10" spans="1:13" s="102" customFormat="1" ht="21.75" customHeight="1">
      <c r="A10" s="166"/>
      <c r="C10" s="11" t="s">
        <v>112</v>
      </c>
      <c r="D10" s="83" t="s">
        <v>193</v>
      </c>
      <c r="E10" s="141">
        <v>8429283.5</v>
      </c>
      <c r="F10" s="141">
        <v>5662617.9000000004</v>
      </c>
      <c r="G10" s="141">
        <f t="shared" si="0"/>
        <v>2766665.5999999996</v>
      </c>
      <c r="H10" s="141">
        <v>679538.1</v>
      </c>
      <c r="I10" s="141">
        <f t="shared" si="1"/>
        <v>2087127.4999999995</v>
      </c>
      <c r="J10" s="84" t="s">
        <v>59</v>
      </c>
      <c r="K10" s="66" t="s">
        <v>113</v>
      </c>
      <c r="M10" s="102">
        <f>595601.3+18855547.9</f>
        <v>19451149.199999999</v>
      </c>
    </row>
    <row r="11" spans="1:13" s="102" customFormat="1" ht="21.75" customHeight="1">
      <c r="A11" s="166"/>
      <c r="C11" s="11" t="s">
        <v>114</v>
      </c>
      <c r="D11" s="83" t="s">
        <v>115</v>
      </c>
      <c r="E11" s="141">
        <v>3150696.8</v>
      </c>
      <c r="F11" s="141">
        <v>1729732.5</v>
      </c>
      <c r="G11" s="141">
        <f>E11-F11</f>
        <v>1420964.2999999998</v>
      </c>
      <c r="H11" s="141">
        <v>426289.3</v>
      </c>
      <c r="I11" s="141">
        <f t="shared" si="1"/>
        <v>994674.99999999977</v>
      </c>
      <c r="J11" s="84" t="s">
        <v>116</v>
      </c>
      <c r="K11" s="66" t="s">
        <v>117</v>
      </c>
    </row>
    <row r="12" spans="1:13" s="102" customFormat="1" ht="21.75" customHeight="1">
      <c r="A12" s="166"/>
      <c r="C12" s="11" t="s">
        <v>118</v>
      </c>
      <c r="D12" s="83" t="s">
        <v>2</v>
      </c>
      <c r="E12" s="141">
        <v>21278970.699999999</v>
      </c>
      <c r="F12" s="141">
        <v>9168307.4000000004</v>
      </c>
      <c r="G12" s="141">
        <f t="shared" si="0"/>
        <v>12110663.299999999</v>
      </c>
      <c r="H12" s="141">
        <v>2605403.2999999998</v>
      </c>
      <c r="I12" s="141">
        <f t="shared" si="1"/>
        <v>9505260</v>
      </c>
      <c r="J12" s="84" t="s">
        <v>119</v>
      </c>
      <c r="K12" s="66" t="s">
        <v>120</v>
      </c>
    </row>
    <row r="13" spans="1:13" s="102" customFormat="1" ht="36" customHeight="1">
      <c r="A13" s="166"/>
      <c r="C13" s="11" t="s">
        <v>121</v>
      </c>
      <c r="D13" s="83" t="s">
        <v>184</v>
      </c>
      <c r="E13" s="141">
        <f>24292214-E14</f>
        <v>19526093.899999999</v>
      </c>
      <c r="F13" s="141">
        <f>6980754.6-F14</f>
        <v>4570008</v>
      </c>
      <c r="G13" s="141">
        <f>E13-F13</f>
        <v>14956085.899999999</v>
      </c>
      <c r="H13" s="141">
        <f>2681896.4-H14</f>
        <v>2056217.5999999999</v>
      </c>
      <c r="I13" s="141">
        <f>G13-H13</f>
        <v>12899868.299999999</v>
      </c>
      <c r="J13" s="84" t="s">
        <v>122</v>
      </c>
      <c r="K13" s="66" t="s">
        <v>123</v>
      </c>
    </row>
    <row r="14" spans="1:13" s="102" customFormat="1" ht="19.5" customHeight="1">
      <c r="A14" s="166"/>
      <c r="C14" s="11" t="s">
        <v>124</v>
      </c>
      <c r="D14" s="83" t="s">
        <v>125</v>
      </c>
      <c r="E14" s="141">
        <f>4766120.1</f>
        <v>4766120.0999999996</v>
      </c>
      <c r="F14" s="141">
        <v>2410746.6</v>
      </c>
      <c r="G14" s="141">
        <f>E14-F14</f>
        <v>2355373.4999999995</v>
      </c>
      <c r="H14" s="141">
        <v>625678.80000000005</v>
      </c>
      <c r="I14" s="141">
        <f>G14-H14</f>
        <v>1729694.6999999995</v>
      </c>
      <c r="J14" s="84" t="s">
        <v>126</v>
      </c>
      <c r="K14" s="66" t="s">
        <v>127</v>
      </c>
    </row>
    <row r="15" spans="1:13" s="102" customFormat="1" ht="23.25" customHeight="1">
      <c r="A15" s="166"/>
      <c r="C15" s="11" t="s">
        <v>128</v>
      </c>
      <c r="D15" s="12" t="s">
        <v>286</v>
      </c>
      <c r="E15" s="141">
        <v>40236959.299999997</v>
      </c>
      <c r="F15" s="141">
        <v>16278207.800000001</v>
      </c>
      <c r="G15" s="141">
        <f>E15-F15</f>
        <v>23958751.499999996</v>
      </c>
      <c r="H15" s="141">
        <v>13684658.5</v>
      </c>
      <c r="I15" s="141">
        <f t="shared" si="1"/>
        <v>10274092.999999996</v>
      </c>
      <c r="J15" s="84" t="s">
        <v>129</v>
      </c>
      <c r="K15" s="66" t="s">
        <v>130</v>
      </c>
    </row>
    <row r="16" spans="1:13" s="102" customFormat="1" ht="20.25" customHeight="1">
      <c r="A16" s="166"/>
      <c r="C16" s="11" t="s">
        <v>131</v>
      </c>
      <c r="D16" s="83" t="s">
        <v>191</v>
      </c>
      <c r="E16" s="141">
        <f>1292256.3-595601.3</f>
        <v>696655</v>
      </c>
      <c r="F16" s="141">
        <f>438558.5-205482.5</f>
        <v>233076</v>
      </c>
      <c r="G16" s="141">
        <f>E16-F16</f>
        <v>463579</v>
      </c>
      <c r="H16" s="141">
        <f>251137.2-66320.2</f>
        <v>184817</v>
      </c>
      <c r="I16" s="141">
        <f>G16-H16</f>
        <v>278762</v>
      </c>
      <c r="J16" s="84" t="s">
        <v>132</v>
      </c>
      <c r="K16" s="66" t="s">
        <v>133</v>
      </c>
    </row>
    <row r="17" spans="1:11" s="102" customFormat="1" ht="25.5" customHeight="1">
      <c r="A17" s="166"/>
      <c r="C17" s="11" t="s">
        <v>134</v>
      </c>
      <c r="D17" s="83" t="s">
        <v>181</v>
      </c>
      <c r="E17" s="141">
        <v>19451149.199999999</v>
      </c>
      <c r="F17" s="141">
        <v>2745134.5</v>
      </c>
      <c r="G17" s="141">
        <f>E17-F17</f>
        <v>16706014.699999999</v>
      </c>
      <c r="H17" s="141">
        <v>69585.2</v>
      </c>
      <c r="I17" s="141">
        <f t="shared" si="1"/>
        <v>16636429.5</v>
      </c>
      <c r="J17" s="84" t="s">
        <v>135</v>
      </c>
      <c r="K17" s="66" t="s">
        <v>136</v>
      </c>
    </row>
    <row r="18" spans="1:11" s="102" customFormat="1" ht="38.25" customHeight="1">
      <c r="A18" s="166"/>
      <c r="C18" s="11" t="s">
        <v>137</v>
      </c>
      <c r="D18" s="83" t="s">
        <v>182</v>
      </c>
      <c r="E18" s="141">
        <v>0</v>
      </c>
      <c r="F18" s="141">
        <v>0</v>
      </c>
      <c r="G18" s="141">
        <v>0</v>
      </c>
      <c r="H18" s="141">
        <v>0</v>
      </c>
      <c r="I18" s="141">
        <v>0</v>
      </c>
      <c r="J18" s="84" t="s">
        <v>138</v>
      </c>
      <c r="K18" s="66" t="s">
        <v>139</v>
      </c>
    </row>
    <row r="19" spans="1:11" s="102" customFormat="1" ht="18.75" customHeight="1">
      <c r="A19" s="166"/>
      <c r="C19" s="11" t="s">
        <v>140</v>
      </c>
      <c r="D19" s="83" t="s">
        <v>141</v>
      </c>
      <c r="E19" s="141">
        <v>1628784</v>
      </c>
      <c r="F19" s="141">
        <v>407196</v>
      </c>
      <c r="G19" s="141">
        <f>E19-F19</f>
        <v>1221588</v>
      </c>
      <c r="H19" s="141">
        <v>366476.4</v>
      </c>
      <c r="I19" s="141">
        <f>G19-H19</f>
        <v>855111.6</v>
      </c>
      <c r="J19" s="84" t="s">
        <v>142</v>
      </c>
      <c r="K19" s="66" t="s">
        <v>143</v>
      </c>
    </row>
    <row r="20" spans="1:11" s="102" customFormat="1" ht="18.75" customHeight="1">
      <c r="A20" s="166"/>
      <c r="C20" s="11" t="s">
        <v>144</v>
      </c>
      <c r="D20" s="83" t="s">
        <v>185</v>
      </c>
      <c r="E20" s="141">
        <v>6840355.0999999996</v>
      </c>
      <c r="F20" s="141">
        <v>1710088.8</v>
      </c>
      <c r="G20" s="141">
        <f>E20-F20</f>
        <v>5130266.3</v>
      </c>
      <c r="H20" s="141">
        <v>1539079.9</v>
      </c>
      <c r="I20" s="141">
        <f>G20-H20</f>
        <v>3591186.4</v>
      </c>
      <c r="J20" s="84" t="s">
        <v>145</v>
      </c>
      <c r="K20" s="66" t="s">
        <v>146</v>
      </c>
    </row>
    <row r="21" spans="1:11" s="102" customFormat="1" ht="24.75" customHeight="1">
      <c r="A21" s="166"/>
      <c r="C21" s="11" t="s">
        <v>147</v>
      </c>
      <c r="D21" s="83" t="s">
        <v>186</v>
      </c>
      <c r="E21" s="141">
        <v>2951368.6</v>
      </c>
      <c r="F21" s="141">
        <v>737842.2</v>
      </c>
      <c r="G21" s="141">
        <f>E21-F21</f>
        <v>2213526.4000000004</v>
      </c>
      <c r="H21" s="141">
        <v>664057.9</v>
      </c>
      <c r="I21" s="141">
        <f>G21-H21</f>
        <v>1549468.5000000005</v>
      </c>
      <c r="J21" s="84" t="s">
        <v>148</v>
      </c>
      <c r="K21" s="66" t="s">
        <v>149</v>
      </c>
    </row>
    <row r="22" spans="1:11" s="102" customFormat="1" ht="25.5" customHeight="1">
      <c r="A22" s="166"/>
      <c r="C22" s="11" t="s">
        <v>150</v>
      </c>
      <c r="D22" s="83" t="s">
        <v>187</v>
      </c>
      <c r="E22" s="141">
        <v>98325.7</v>
      </c>
      <c r="F22" s="141">
        <v>0</v>
      </c>
      <c r="G22" s="141">
        <f>E22</f>
        <v>98325.7</v>
      </c>
      <c r="H22" s="141">
        <v>98325.7</v>
      </c>
      <c r="I22" s="141">
        <v>0</v>
      </c>
      <c r="J22" s="84" t="s">
        <v>151</v>
      </c>
      <c r="K22" s="66" t="s">
        <v>152</v>
      </c>
    </row>
    <row r="23" spans="1:11" ht="23.25" customHeight="1" thickBot="1">
      <c r="A23" s="165"/>
      <c r="B23" s="102"/>
      <c r="C23" s="71" t="s">
        <v>153</v>
      </c>
      <c r="D23" s="86" t="s">
        <v>188</v>
      </c>
      <c r="E23" s="190" t="s">
        <v>96</v>
      </c>
      <c r="F23" s="190" t="s">
        <v>96</v>
      </c>
      <c r="G23" s="190" t="s">
        <v>96</v>
      </c>
      <c r="H23" s="190" t="s">
        <v>96</v>
      </c>
      <c r="I23" s="190" t="s">
        <v>96</v>
      </c>
      <c r="J23" s="87" t="s">
        <v>154</v>
      </c>
      <c r="K23" s="68" t="s">
        <v>155</v>
      </c>
    </row>
    <row r="24" spans="1:11" ht="21.75" customHeight="1" thickBot="1">
      <c r="A24" s="165"/>
      <c r="C24" s="388" t="s">
        <v>189</v>
      </c>
      <c r="D24" s="386"/>
      <c r="E24" s="144">
        <f>E5+E6+E9+E10+E11+E12+E13+E14+E15+E16+E17+E19+E20+E21+E22</f>
        <v>139799375.49999997</v>
      </c>
      <c r="F24" s="144">
        <f>F5+F6+F9+F10+F11+F12+F13+F14+F15+F16+F17+F19+F20+F21</f>
        <v>48501755.100000009</v>
      </c>
      <c r="G24" s="144">
        <f>G5+G6+G9+G10+G11+G12+G13+G14+G15+G16+G17+G19+G20+G21+G22</f>
        <v>91297620.400000006</v>
      </c>
      <c r="H24" s="144">
        <f>H5+H6+H9+H10+H11+H12+H13+H14+H15+H16+H17+H19+H20+H21+H22</f>
        <v>25646787.999999993</v>
      </c>
      <c r="I24" s="144">
        <f>I5+I6+I9+I10+I11+I12+I13+I14+I15+I16+I17+I19+I20+I21</f>
        <v>65650832.399999991</v>
      </c>
      <c r="J24" s="386" t="s">
        <v>156</v>
      </c>
      <c r="K24" s="387"/>
    </row>
    <row r="25" spans="1:11" ht="18" thickTop="1">
      <c r="A25" s="167">
        <v>13</v>
      </c>
      <c r="C25" s="369" t="s">
        <v>204</v>
      </c>
      <c r="D25" s="369"/>
      <c r="E25" s="72"/>
      <c r="F25" s="72"/>
      <c r="G25" s="101"/>
      <c r="H25" s="72"/>
      <c r="I25" s="101"/>
      <c r="J25" s="101"/>
      <c r="K25" s="72"/>
    </row>
    <row r="26" spans="1:11">
      <c r="A26" s="167"/>
      <c r="C26" s="174"/>
      <c r="D26" s="174"/>
      <c r="E26" s="72"/>
      <c r="F26" s="72"/>
      <c r="G26" s="101"/>
      <c r="H26" s="72"/>
      <c r="I26" s="101"/>
      <c r="J26" s="101"/>
      <c r="K26" s="72"/>
    </row>
    <row r="27" spans="1:11">
      <c r="A27" s="167"/>
      <c r="C27" s="174"/>
      <c r="D27" s="174"/>
      <c r="E27" s="101"/>
      <c r="F27" s="101"/>
      <c r="G27" s="101"/>
      <c r="H27" s="101"/>
      <c r="I27" s="101"/>
      <c r="J27" s="101"/>
      <c r="K27" s="72"/>
    </row>
    <row r="28" spans="1:11">
      <c r="A28" s="167"/>
      <c r="C28" s="174"/>
      <c r="D28" s="174"/>
      <c r="E28" s="187"/>
      <c r="F28" s="187"/>
      <c r="G28" s="187"/>
      <c r="H28" s="187"/>
      <c r="I28" s="187"/>
      <c r="J28" s="101"/>
      <c r="K28" s="72"/>
    </row>
    <row r="29" spans="1:11">
      <c r="A29" s="167"/>
      <c r="C29" s="174"/>
      <c r="D29" s="174"/>
      <c r="E29" s="186"/>
      <c r="F29" s="186"/>
      <c r="G29" s="186"/>
      <c r="H29" s="186"/>
      <c r="I29" s="186"/>
      <c r="J29" s="101"/>
      <c r="K29" s="72"/>
    </row>
    <row r="30" spans="1:11">
      <c r="A30" s="167"/>
      <c r="C30" s="174"/>
      <c r="D30" s="174"/>
      <c r="E30" s="186"/>
      <c r="F30" s="186"/>
      <c r="G30" s="186"/>
      <c r="H30" s="186"/>
      <c r="I30" s="186"/>
      <c r="J30" s="101"/>
      <c r="K30" s="72"/>
    </row>
    <row r="31" spans="1:11">
      <c r="A31" s="167"/>
      <c r="C31" s="174"/>
      <c r="D31" s="174"/>
      <c r="E31" s="101"/>
      <c r="F31" s="101"/>
      <c r="G31" s="101"/>
      <c r="H31" s="101"/>
      <c r="I31" s="101"/>
      <c r="J31" s="101"/>
      <c r="K31" s="72"/>
    </row>
    <row r="32" spans="1:11">
      <c r="A32" s="167"/>
      <c r="C32" s="174"/>
      <c r="D32" s="174"/>
      <c r="E32" s="101"/>
      <c r="F32" s="101"/>
      <c r="G32" s="101"/>
      <c r="H32" s="101"/>
      <c r="I32" s="101"/>
      <c r="J32" s="101"/>
      <c r="K32" s="72"/>
    </row>
    <row r="33" spans="1:11">
      <c r="A33" s="167"/>
      <c r="C33" s="174"/>
      <c r="D33" s="174"/>
      <c r="E33" s="187"/>
      <c r="F33" s="187"/>
      <c r="G33" s="187"/>
      <c r="H33" s="187"/>
      <c r="I33" s="187"/>
      <c r="J33" s="101"/>
      <c r="K33" s="72"/>
    </row>
    <row r="34" spans="1:11">
      <c r="A34" s="165"/>
      <c r="E34" s="183"/>
      <c r="F34" s="183"/>
      <c r="G34" s="183"/>
      <c r="H34" s="183"/>
      <c r="I34" s="183"/>
      <c r="J34" s="58"/>
    </row>
    <row r="35" spans="1:11">
      <c r="A35" s="165"/>
      <c r="E35" s="58"/>
      <c r="F35" s="58"/>
      <c r="G35" s="58"/>
      <c r="H35" s="58"/>
      <c r="I35" s="58"/>
      <c r="J35" s="58"/>
    </row>
    <row r="36" spans="1:11">
      <c r="E36" s="58"/>
      <c r="F36" s="58"/>
      <c r="G36" s="58"/>
      <c r="H36" s="141"/>
      <c r="I36" s="58"/>
      <c r="J36" s="58"/>
    </row>
    <row r="37" spans="1:11">
      <c r="E37" s="58"/>
      <c r="F37" s="58"/>
      <c r="G37" s="58"/>
      <c r="H37" s="58"/>
      <c r="I37" s="58"/>
      <c r="J37" s="58"/>
    </row>
    <row r="38" spans="1:11">
      <c r="G38" s="58"/>
      <c r="H38" s="58"/>
      <c r="I38" s="58"/>
      <c r="J38" s="58"/>
    </row>
    <row r="39" spans="1:11">
      <c r="E39" s="58"/>
      <c r="F39" s="58"/>
      <c r="G39" s="58"/>
      <c r="H39" s="58"/>
      <c r="I39" s="58"/>
    </row>
    <row r="40" spans="1:11">
      <c r="E40" s="58"/>
      <c r="F40" s="58"/>
      <c r="G40" s="58"/>
      <c r="H40" s="58"/>
      <c r="I40" s="58"/>
    </row>
    <row r="41" spans="1:11" ht="15.75">
      <c r="E41" s="58"/>
      <c r="F41" s="74"/>
      <c r="G41" s="74"/>
      <c r="H41" s="151"/>
    </row>
    <row r="42" spans="1:11">
      <c r="E42" s="58"/>
      <c r="F42" s="58"/>
      <c r="G42" s="58"/>
      <c r="H42" s="58"/>
      <c r="I42" s="58"/>
    </row>
    <row r="43" spans="1:11">
      <c r="E43" s="58"/>
      <c r="F43" s="58"/>
      <c r="G43" s="58"/>
      <c r="H43" s="58"/>
      <c r="I43" s="58"/>
    </row>
    <row r="44" spans="1:11">
      <c r="E44" s="58"/>
      <c r="F44" s="58"/>
      <c r="G44" s="58"/>
      <c r="H44" s="58"/>
      <c r="I44" s="58"/>
    </row>
    <row r="45" spans="1:11">
      <c r="E45" s="58"/>
      <c r="F45" s="58"/>
      <c r="G45" s="58"/>
      <c r="H45" s="58"/>
      <c r="I45" s="58"/>
    </row>
    <row r="46" spans="1:11">
      <c r="H46" s="58"/>
      <c r="I46" s="58"/>
    </row>
    <row r="47" spans="1:11">
      <c r="H47" s="58"/>
      <c r="I47" s="58"/>
    </row>
    <row r="48" spans="1:11">
      <c r="H48" s="58"/>
    </row>
    <row r="50" spans="8:8">
      <c r="H50" s="58"/>
    </row>
    <row r="53" spans="8:8">
      <c r="H53" s="58"/>
    </row>
    <row r="54" spans="8:8">
      <c r="H54" s="58"/>
    </row>
    <row r="76" spans="5:9">
      <c r="E76" s="58"/>
      <c r="F76" s="58"/>
      <c r="G76" s="58"/>
      <c r="H76" s="58"/>
      <c r="I76" s="58"/>
    </row>
    <row r="78" spans="5:9">
      <c r="G78" s="58"/>
    </row>
    <row r="79" spans="5:9">
      <c r="E79" s="58"/>
      <c r="F79" s="58"/>
      <c r="G79" s="58"/>
      <c r="H79" s="58"/>
      <c r="I79" s="58"/>
    </row>
  </sheetData>
  <mergeCells count="10">
    <mergeCell ref="C25:D25"/>
    <mergeCell ref="A1:A9"/>
    <mergeCell ref="C1:K1"/>
    <mergeCell ref="C2:K2"/>
    <mergeCell ref="J24:K24"/>
    <mergeCell ref="C3:C4"/>
    <mergeCell ref="D3:D4"/>
    <mergeCell ref="J3:J4"/>
    <mergeCell ref="K3:K4"/>
    <mergeCell ref="C24:D24"/>
  </mergeCells>
  <phoneticPr fontId="2" type="noConversion"/>
  <printOptions horizontalCentered="1" verticalCentered="1"/>
  <pageMargins left="0.15748031496063" right="0.23622047244094499" top="0.36" bottom="0.31" header="0.196850393700787" footer="0.196850393700787"/>
  <pageSetup paperSize="9" scale="84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19</vt:i4>
      </vt:variant>
    </vt:vector>
  </HeadingPairs>
  <TitlesOfParts>
    <vt:vector size="36" baseType="lpstr">
      <vt:lpstr>فهرست </vt:lpstr>
      <vt:lpstr>جدول 1 </vt:lpstr>
      <vt:lpstr>جدول  2 </vt:lpstr>
      <vt:lpstr>جدول 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'9'!OLE_LINK2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'جدول  2 '!Print_Area</vt:lpstr>
      <vt:lpstr>'جدول 1 '!Print_Area</vt:lpstr>
      <vt:lpstr>'جدول 3'!Print_Area</vt:lpstr>
      <vt:lpstr>'فهرست '!Print_Area</vt:lpstr>
      <vt:lpstr>'فهرست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Haidar Khaled</cp:lastModifiedBy>
  <cp:lastPrinted>2021-02-25T09:50:36Z</cp:lastPrinted>
  <dcterms:created xsi:type="dcterms:W3CDTF">2006-10-17T08:39:25Z</dcterms:created>
  <dcterms:modified xsi:type="dcterms:W3CDTF">2021-03-01T06:31:40Z</dcterms:modified>
</cp:coreProperties>
</file>